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New Here\"/>
    </mc:Choice>
  </mc:AlternateContent>
  <bookViews>
    <workbookView xWindow="0" yWindow="0" windowWidth="15530" windowHeight="5850"/>
  </bookViews>
  <sheets>
    <sheet name="Index" sheetId="40" r:id="rId1"/>
    <sheet name="main" sheetId="27" r:id="rId2"/>
    <sheet name="simpleLow" sheetId="41" r:id="rId3"/>
    <sheet name="each ball vs theory" sheetId="35" r:id="rId4"/>
    <sheet name="gas" sheetId="34" r:id="rId5"/>
    <sheet name="graphs" sheetId="32" r:id="rId6"/>
    <sheet name="tline" sheetId="38" r:id="rId7"/>
    <sheet name="split personality" sheetId="39" r:id="rId8"/>
    <sheet name="provRef" sheetId="33" r:id="rId9"/>
    <sheet name="warming curves" sheetId="29" r:id="rId10"/>
    <sheet name="gauge calib" sheetId="30" r:id="rId11"/>
    <sheet name="pres temp" sheetId="19" r:id="rId12"/>
    <sheet name="alph" sheetId="28" r:id="rId13"/>
    <sheet name="graph" sheetId="37" r:id="rId14"/>
    <sheet name="leather" sheetId="6" r:id="rId15"/>
  </sheets>
  <definedNames>
    <definedName name="bk_Crv_C_dry">'warming curves'!$A$54</definedName>
    <definedName name="bk_crv_C_wet">'warming curves'!$A$44</definedName>
    <definedName name="bk_Crv_P_dry">'warming curves'!$A$30</definedName>
    <definedName name="bk_Crv_P_wet">'warming curves'!$A$13</definedName>
    <definedName name="bk_each_ball_and_theory">'each ball vs theory'!$A$1</definedName>
    <definedName name="bk_graph_colts">graphs!$I$132</definedName>
    <definedName name="bk_graph_pats">graphs!$L$183</definedName>
    <definedName name="bk_out_then_in">main!$A$154</definedName>
    <definedName name="bk_rise_4_8">'warming curves'!$E$24</definedName>
    <definedName name="bk_timeline_intercepted">tline!$A$1</definedName>
    <definedName name="Bookmark_Adjust_psi_1_degree_F">main!$A$38</definedName>
    <definedName name="bookmark_bag_impact">main!$A$93</definedName>
    <definedName name="bookmark_Crv_Basic">'warming curves'!$A$3</definedName>
    <definedName name="bookmark_gas_law_basic_inputs">gas!$A$3</definedName>
    <definedName name="bookmark_halftime_timing">main!$A$79</definedName>
    <definedName name="bookmark_index">Index!$A$1</definedName>
    <definedName name="bookmark_intercepted_ball_not_deflated">main!$A$134</definedName>
    <definedName name="bookmark_leather_stretch_tests">gas!$A$33</definedName>
    <definedName name="bookmark_lowest_ball_analysis">main!$A$106</definedName>
    <definedName name="bookmark_on_field_pressure">main!$A$61</definedName>
    <definedName name="bookmark_Predict_psi_Out_then_in_bag">main!$A$154</definedName>
    <definedName name="Bookmark_psi_drop_rate_humid_leather">gas!$A$48</definedName>
    <definedName name="Bookmark_Temperature_weather_data">main!$A$2</definedName>
    <definedName name="boomark_gas_law_in_different_scenarios">gas!$A$15</definedName>
    <definedName name="EndDropPerStartDeg">gas!#REF!</definedName>
    <definedName name="Factor_adjust_start_diff_to_end_diff">'pres temp'!$A$33</definedName>
    <definedName name="psi_drop_per_degree">#REF!</definedName>
    <definedName name="TCrv" localSheetId="10">'gauge calib'!$F$36:$L$41</definedName>
    <definedName name="TCrv">'warming curves'!$F$15:$H$22</definedName>
    <definedName name="TcrvCD">'warming curves'!$F$56:$H$62</definedName>
    <definedName name="TcrvCW">'warming curves'!$F$46:$H$52</definedName>
    <definedName name="TcrvPD">'warming curves'!$F$34:$H$41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1" l="1"/>
  <c r="C12" i="41"/>
  <c r="C8" i="41"/>
  <c r="C6" i="41"/>
  <c r="C5" i="41"/>
  <c r="C9" i="41" s="1"/>
  <c r="C7" i="41" l="1"/>
  <c r="C10" i="41"/>
  <c r="C13" i="41" s="1"/>
  <c r="C14" i="41" s="1"/>
  <c r="C15" i="41" s="1"/>
  <c r="L9" i="29"/>
  <c r="K9" i="29"/>
  <c r="K27" i="29" l="1"/>
  <c r="K26" i="29"/>
  <c r="J26" i="29"/>
  <c r="J28" i="29"/>
  <c r="I28" i="29"/>
  <c r="I27" i="29"/>
  <c r="I26" i="29"/>
  <c r="H27" i="29"/>
  <c r="G27" i="29"/>
  <c r="D112" i="35"/>
  <c r="C114" i="35"/>
  <c r="C115" i="35"/>
  <c r="C116" i="35" s="1"/>
  <c r="C117" i="35" s="1"/>
  <c r="C118" i="35" s="1"/>
  <c r="C119" i="35" s="1"/>
  <c r="C120" i="35" s="1"/>
  <c r="C121" i="35" s="1"/>
  <c r="C122" i="35" s="1"/>
  <c r="C123" i="35" s="1"/>
  <c r="C124" i="35" s="1"/>
  <c r="C125" i="35" s="1"/>
  <c r="C113" i="35"/>
  <c r="C112" i="35"/>
  <c r="O30" i="34"/>
  <c r="O29" i="34"/>
  <c r="O28" i="34"/>
  <c r="O27" i="34"/>
  <c r="O26" i="34"/>
  <c r="O25" i="34"/>
  <c r="O24" i="34"/>
  <c r="O21" i="34"/>
  <c r="E137" i="27"/>
  <c r="A6" i="29"/>
  <c r="A7" i="29"/>
  <c r="A8" i="29"/>
  <c r="H11" i="29" s="1"/>
  <c r="A9" i="29"/>
  <c r="A10" i="29"/>
  <c r="A11" i="29"/>
  <c r="A5" i="29"/>
  <c r="H10" i="29"/>
  <c r="C52" i="34" l="1"/>
  <c r="C13" i="27"/>
  <c r="A113" i="35" l="1"/>
  <c r="A114" i="35" s="1"/>
  <c r="A115" i="35" s="1"/>
  <c r="A116" i="35" s="1"/>
  <c r="A117" i="35" s="1"/>
  <c r="A118" i="35" s="1"/>
  <c r="A119" i="35" s="1"/>
  <c r="D120" i="35"/>
  <c r="G11" i="30" l="1"/>
  <c r="E7" i="30"/>
  <c r="E8" i="30"/>
  <c r="E9" i="30"/>
  <c r="E10" i="30"/>
  <c r="E11" i="30"/>
  <c r="E6" i="30"/>
  <c r="D7" i="30"/>
  <c r="D8" i="30"/>
  <c r="D9" i="30"/>
  <c r="D10" i="30"/>
  <c r="D11" i="30"/>
  <c r="D6" i="30"/>
  <c r="H181" i="27" l="1"/>
  <c r="A17" i="27"/>
  <c r="A18" i="27"/>
  <c r="A19" i="27"/>
  <c r="A20" i="27"/>
  <c r="A21" i="27"/>
  <c r="A22" i="27"/>
  <c r="A23" i="27"/>
  <c r="A24" i="27"/>
  <c r="A25" i="27"/>
  <c r="A26" i="27"/>
  <c r="A27" i="27"/>
  <c r="A28" i="27"/>
  <c r="A29" i="27"/>
  <c r="A30" i="27"/>
  <c r="A31" i="27"/>
  <c r="A32" i="27"/>
  <c r="A33" i="27"/>
  <c r="A34" i="27"/>
  <c r="A35" i="27"/>
  <c r="A36" i="27"/>
  <c r="A37" i="27"/>
  <c r="AD22" i="34"/>
  <c r="A39" i="27"/>
  <c r="A40" i="27"/>
  <c r="A41" i="27"/>
  <c r="A42" i="27"/>
  <c r="A43" i="27"/>
  <c r="A44" i="27"/>
  <c r="A45" i="27"/>
  <c r="A46" i="27"/>
  <c r="A47" i="27"/>
  <c r="A48" i="27"/>
  <c r="A49" i="27"/>
  <c r="A50" i="27"/>
  <c r="A51" i="27"/>
  <c r="A52" i="27"/>
  <c r="A53" i="27"/>
  <c r="A54" i="27"/>
  <c r="A55" i="27"/>
  <c r="A56" i="27"/>
  <c r="A57" i="27"/>
  <c r="A58" i="27"/>
  <c r="A59" i="27"/>
  <c r="A60" i="27"/>
  <c r="A62" i="27"/>
  <c r="A63" i="27"/>
  <c r="A64" i="27"/>
  <c r="A65" i="27"/>
  <c r="A66" i="27"/>
  <c r="A67" i="27"/>
  <c r="A68" i="27"/>
  <c r="A69" i="27"/>
  <c r="A70" i="27"/>
  <c r="A71" i="27"/>
  <c r="A72" i="27"/>
  <c r="A73" i="27"/>
  <c r="A74" i="27"/>
  <c r="A75" i="27"/>
  <c r="A76" i="27"/>
  <c r="A77" i="27"/>
  <c r="A78" i="27"/>
  <c r="A80" i="27"/>
  <c r="A81" i="27"/>
  <c r="A82" i="27"/>
  <c r="A83" i="27"/>
  <c r="A84" i="27"/>
  <c r="A85" i="27"/>
  <c r="A86" i="27"/>
  <c r="A87" i="27"/>
  <c r="A88" i="27"/>
  <c r="A89" i="27"/>
  <c r="A90" i="27"/>
  <c r="A91" i="27"/>
  <c r="A92" i="27"/>
  <c r="A94" i="27"/>
  <c r="A95" i="27"/>
  <c r="A96" i="27"/>
  <c r="A97" i="27"/>
  <c r="A98" i="27"/>
  <c r="A99" i="27"/>
  <c r="A100" i="27"/>
  <c r="A101" i="27"/>
  <c r="A102" i="27"/>
  <c r="A103" i="27"/>
  <c r="A104" i="27"/>
  <c r="A105"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5" i="27"/>
  <c r="A136" i="27"/>
  <c r="A137" i="27"/>
  <c r="A138" i="27"/>
  <c r="A139" i="27"/>
  <c r="A140" i="27"/>
  <c r="A141" i="27"/>
  <c r="A142" i="27"/>
  <c r="A143" i="27"/>
  <c r="A144" i="27"/>
  <c r="A145" i="27"/>
  <c r="A146" i="27"/>
  <c r="A147" i="27"/>
  <c r="A45" i="34"/>
  <c r="A46" i="34"/>
  <c r="A47"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F45" i="34"/>
  <c r="A40" i="34"/>
  <c r="A41" i="34"/>
  <c r="A42" i="34"/>
  <c r="A43" i="34"/>
  <c r="A44" i="34"/>
  <c r="A36" i="34"/>
  <c r="A37" i="34"/>
  <c r="A38" i="34"/>
  <c r="AD24" i="34"/>
  <c r="AD25" i="34"/>
  <c r="AD26" i="34"/>
  <c r="AD23" i="34"/>
  <c r="Z22" i="34"/>
  <c r="AC22" i="34"/>
  <c r="Z23" i="34"/>
  <c r="AC23" i="34"/>
  <c r="Z24" i="34"/>
  <c r="AC24" i="34"/>
  <c r="Z25" i="34"/>
  <c r="AC25" i="34"/>
  <c r="Z26" i="34"/>
  <c r="AC26" i="34"/>
  <c r="Z27" i="34"/>
  <c r="AC27" i="34"/>
  <c r="B25" i="34"/>
  <c r="B24" i="34"/>
  <c r="Z21" i="34" s="1"/>
  <c r="AC19" i="34"/>
  <c r="AC20" i="34"/>
  <c r="AC21" i="34"/>
  <c r="AC18" i="34"/>
  <c r="Z18" i="34"/>
  <c r="Z20" i="34"/>
  <c r="Z19" i="34"/>
  <c r="AD19" i="34"/>
  <c r="AD18" i="34"/>
  <c r="AB18" i="34"/>
  <c r="AA18" i="34"/>
  <c r="B85" i="34" l="1"/>
  <c r="D85" i="34"/>
  <c r="E85" i="34"/>
  <c r="B86" i="34"/>
  <c r="D86" i="34"/>
  <c r="B78" i="34"/>
  <c r="C78" i="34"/>
  <c r="D78" i="34"/>
  <c r="E78" i="34"/>
  <c r="B79" i="34"/>
  <c r="D79" i="34"/>
  <c r="E79" i="34"/>
  <c r="B80" i="34"/>
  <c r="C80" i="34"/>
  <c r="D80" i="34"/>
  <c r="E80" i="34"/>
  <c r="B81" i="34"/>
  <c r="C81" i="34"/>
  <c r="D81" i="34"/>
  <c r="E81" i="34"/>
  <c r="B82" i="34"/>
  <c r="D82" i="34"/>
  <c r="E82" i="34"/>
  <c r="B83" i="34"/>
  <c r="D83" i="34"/>
  <c r="E83" i="34"/>
  <c r="B84" i="34"/>
  <c r="D84" i="34"/>
  <c r="E84" i="34"/>
  <c r="B77" i="34"/>
  <c r="C77" i="34"/>
  <c r="D77" i="34"/>
  <c r="C35" i="27" l="1"/>
  <c r="H4" i="33"/>
  <c r="D17" i="39"/>
  <c r="C17" i="39"/>
  <c r="C16" i="39"/>
  <c r="S27" i="34"/>
  <c r="U27" i="34"/>
  <c r="U18" i="34"/>
  <c r="U20" i="34" s="1"/>
  <c r="U21" i="34" s="1"/>
  <c r="I6" i="39"/>
  <c r="I7" i="39"/>
  <c r="I8" i="39"/>
  <c r="I9" i="39"/>
  <c r="I10" i="39"/>
  <c r="I11" i="39"/>
  <c r="I12" i="39"/>
  <c r="I13" i="39"/>
  <c r="I14" i="39"/>
  <c r="I15" i="39"/>
  <c r="I16" i="39"/>
  <c r="J16" i="39"/>
  <c r="I5" i="39"/>
  <c r="T26" i="34"/>
  <c r="R26" i="34"/>
  <c r="T27" i="34"/>
  <c r="T20" i="34"/>
  <c r="T21" i="34" s="1"/>
  <c r="T28" i="34" s="1"/>
  <c r="T29" i="34" s="1"/>
  <c r="H6" i="39"/>
  <c r="H7" i="39"/>
  <c r="H8" i="39"/>
  <c r="H9" i="39"/>
  <c r="H10" i="39"/>
  <c r="H12" i="39"/>
  <c r="H13" i="39"/>
  <c r="H14" i="39"/>
  <c r="H15" i="39"/>
  <c r="H16" i="39"/>
  <c r="H11" i="39"/>
  <c r="H5" i="39"/>
  <c r="B16" i="39"/>
  <c r="B17" i="39"/>
  <c r="G10" i="33"/>
  <c r="B11" i="33"/>
  <c r="C11" i="33"/>
  <c r="D11" i="33"/>
  <c r="E11" i="33"/>
  <c r="A11" i="33"/>
  <c r="C5" i="33"/>
  <c r="C6" i="33" s="1"/>
  <c r="C7" i="33"/>
  <c r="A5" i="33"/>
  <c r="A4" i="33"/>
  <c r="C13" i="33"/>
  <c r="E23" i="39"/>
  <c r="E24" i="39"/>
  <c r="E22" i="39"/>
  <c r="E20" i="39"/>
  <c r="E6" i="39"/>
  <c r="E7" i="39"/>
  <c r="E8" i="39"/>
  <c r="E9" i="39"/>
  <c r="E10" i="39"/>
  <c r="E11" i="39"/>
  <c r="E12" i="39"/>
  <c r="E13" i="39"/>
  <c r="E14" i="39"/>
  <c r="E15" i="39"/>
  <c r="E5" i="39"/>
  <c r="G11" i="39"/>
  <c r="F12" i="39"/>
  <c r="F13" i="39"/>
  <c r="F14" i="39"/>
  <c r="F15" i="39"/>
  <c r="F11" i="39"/>
  <c r="G10" i="39"/>
  <c r="F6" i="39"/>
  <c r="F7" i="39"/>
  <c r="F8" i="39"/>
  <c r="F9" i="39"/>
  <c r="F10" i="39"/>
  <c r="F5" i="39"/>
  <c r="C14" i="33"/>
  <c r="F13" i="33" s="1"/>
  <c r="C81" i="33"/>
  <c r="B87" i="33" s="1"/>
  <c r="A20" i="33"/>
  <c r="A24" i="33"/>
  <c r="A27" i="33"/>
  <c r="A28" i="33"/>
  <c r="A13" i="33"/>
  <c r="A14" i="33"/>
  <c r="A6" i="33"/>
  <c r="A15" i="33"/>
  <c r="A16" i="33"/>
  <c r="A17" i="33"/>
  <c r="A18" i="33"/>
  <c r="A19" i="33"/>
  <c r="A21" i="33"/>
  <c r="A22" i="33"/>
  <c r="A23" i="33"/>
  <c r="A25" i="33"/>
  <c r="A26" i="33"/>
  <c r="C61" i="34"/>
  <c r="F21" i="34" s="1"/>
  <c r="C35" i="34"/>
  <c r="A12" i="33"/>
  <c r="A48" i="33"/>
  <c r="A49" i="33"/>
  <c r="A50" i="33"/>
  <c r="A51" i="33"/>
  <c r="A52" i="33"/>
  <c r="A53" i="33"/>
  <c r="A54" i="33"/>
  <c r="A55" i="33"/>
  <c r="A56" i="33"/>
  <c r="A57" i="33"/>
  <c r="A58" i="33"/>
  <c r="A59" i="33"/>
  <c r="F60" i="33" s="1"/>
  <c r="A60" i="33"/>
  <c r="A61" i="33"/>
  <c r="A62" i="33"/>
  <c r="A63" i="33"/>
  <c r="A64" i="33"/>
  <c r="A65" i="33"/>
  <c r="A66" i="33"/>
  <c r="A67" i="33"/>
  <c r="A68" i="33"/>
  <c r="A69" i="33"/>
  <c r="A70" i="33"/>
  <c r="F71" i="33" s="1"/>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A103" i="33"/>
  <c r="A104" i="33"/>
  <c r="A105" i="33"/>
  <c r="A106" i="33"/>
  <c r="A107" i="33"/>
  <c r="A108" i="33"/>
  <c r="A109" i="33"/>
  <c r="A110" i="33"/>
  <c r="A111" i="33"/>
  <c r="A112" i="33"/>
  <c r="A113" i="33"/>
  <c r="A114" i="33"/>
  <c r="A115" i="33"/>
  <c r="A116" i="33"/>
  <c r="A117" i="33"/>
  <c r="A118" i="33"/>
  <c r="A119" i="33"/>
  <c r="A120" i="33"/>
  <c r="A121" i="33"/>
  <c r="A122" i="33"/>
  <c r="A123" i="33"/>
  <c r="A124" i="33"/>
  <c r="A125" i="33"/>
  <c r="A126" i="33"/>
  <c r="A127" i="33"/>
  <c r="A128" i="33"/>
  <c r="A129" i="33"/>
  <c r="A130" i="33"/>
  <c r="A47" i="33"/>
  <c r="C3" i="28"/>
  <c r="C4"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2" i="28"/>
  <c r="B2" i="28"/>
  <c r="E18" i="39"/>
  <c r="N8" i="35"/>
  <c r="M8" i="35"/>
  <c r="C80" i="33"/>
  <c r="B86" i="33" s="1"/>
  <c r="C17" i="33"/>
  <c r="F20" i="39"/>
  <c r="F21" i="39"/>
  <c r="F19" i="39"/>
  <c r="A131" i="32"/>
  <c r="A129" i="32"/>
  <c r="A130" i="32"/>
  <c r="A127" i="32"/>
  <c r="A128" i="32"/>
  <c r="E130" i="27"/>
  <c r="A216" i="32"/>
  <c r="A217" i="32"/>
  <c r="A213" i="32"/>
  <c r="A214" i="32"/>
  <c r="A215" i="32"/>
  <c r="A209" i="32"/>
  <c r="A210" i="32"/>
  <c r="A211" i="32"/>
  <c r="A212" i="32"/>
  <c r="A208" i="32"/>
  <c r="A19" i="35"/>
  <c r="A20" i="35"/>
  <c r="A21" i="35"/>
  <c r="A22" i="35"/>
  <c r="A23" i="35"/>
  <c r="A24" i="35"/>
  <c r="A25" i="35"/>
  <c r="A26" i="35"/>
  <c r="A18" i="35"/>
  <c r="A48" i="35"/>
  <c r="A49" i="35"/>
  <c r="A50" i="35"/>
  <c r="A51" i="35"/>
  <c r="A52" i="35"/>
  <c r="A53" i="35"/>
  <c r="A54" i="35"/>
  <c r="A55" i="35"/>
  <c r="A47" i="35"/>
  <c r="A276" i="32"/>
  <c r="A275" i="32"/>
  <c r="A267" i="32"/>
  <c r="A268" i="32"/>
  <c r="A269" i="32"/>
  <c r="A270" i="32"/>
  <c r="A271" i="32"/>
  <c r="A272" i="32"/>
  <c r="A273" i="32"/>
  <c r="A274" i="32"/>
  <c r="A46" i="35"/>
  <c r="A266" i="32"/>
  <c r="A262" i="32"/>
  <c r="D9" i="29"/>
  <c r="A263" i="32"/>
  <c r="A264" i="32"/>
  <c r="A265" i="32"/>
  <c r="A261" i="32"/>
  <c r="A64" i="35"/>
  <c r="A65" i="35"/>
  <c r="A66" i="35"/>
  <c r="A67" i="35"/>
  <c r="A63" i="35"/>
  <c r="I36" i="35"/>
  <c r="A205" i="32"/>
  <c r="A204" i="32"/>
  <c r="I37" i="35"/>
  <c r="A206" i="32"/>
  <c r="I38" i="35"/>
  <c r="A207" i="32"/>
  <c r="A203" i="32"/>
  <c r="I15" i="29"/>
  <c r="J17" i="29" s="1"/>
  <c r="J16" i="29"/>
  <c r="C31" i="27"/>
  <c r="C28" i="27"/>
  <c r="C29" i="27"/>
  <c r="C46" i="27"/>
  <c r="C16" i="27"/>
  <c r="C17" i="27" s="1"/>
  <c r="C65" i="27"/>
  <c r="C71" i="27"/>
  <c r="D71" i="27" s="1"/>
  <c r="C53" i="27"/>
  <c r="R18" i="34" s="1"/>
  <c r="R21" i="34" s="1"/>
  <c r="R27" i="34"/>
  <c r="E56" i="27"/>
  <c r="E48" i="27"/>
  <c r="E47" i="27"/>
  <c r="E46" i="27"/>
  <c r="C11" i="29"/>
  <c r="C83" i="27"/>
  <c r="I75" i="35" s="1"/>
  <c r="C96" i="27"/>
  <c r="D11" i="35" s="1"/>
  <c r="C178" i="27"/>
  <c r="C182" i="27"/>
  <c r="C180" i="27"/>
  <c r="C98" i="27"/>
  <c r="N25" i="34" s="1"/>
  <c r="N27" i="34" s="1"/>
  <c r="C157" i="27"/>
  <c r="C160" i="27" s="1"/>
  <c r="J18" i="29"/>
  <c r="D71" i="35"/>
  <c r="D72" i="35" s="1"/>
  <c r="D73" i="35" s="1"/>
  <c r="D74" i="35" s="1"/>
  <c r="D75" i="35" s="1"/>
  <c r="C109" i="27"/>
  <c r="H220" i="32"/>
  <c r="A256" i="32"/>
  <c r="A260" i="32"/>
  <c r="A255" i="32"/>
  <c r="A254" i="32"/>
  <c r="A250" i="32"/>
  <c r="A249" i="32"/>
  <c r="A241" i="32"/>
  <c r="M84" i="35"/>
  <c r="J19" i="29"/>
  <c r="J20" i="29"/>
  <c r="A248" i="32"/>
  <c r="M91" i="35"/>
  <c r="N83" i="35"/>
  <c r="M83" i="35"/>
  <c r="A240" i="32"/>
  <c r="A4" i="32"/>
  <c r="B222" i="32"/>
  <c r="B223" i="32"/>
  <c r="B224" i="32"/>
  <c r="B225" i="32"/>
  <c r="B226" i="32"/>
  <c r="B227" i="32"/>
  <c r="B228" i="32"/>
  <c r="B229" i="32"/>
  <c r="B230" i="32"/>
  <c r="B231" i="32"/>
  <c r="B221" i="32"/>
  <c r="M95" i="35"/>
  <c r="M100" i="35"/>
  <c r="M101" i="35"/>
  <c r="A184" i="32"/>
  <c r="A233" i="32"/>
  <c r="A238" i="32"/>
  <c r="A239" i="32"/>
  <c r="A232" i="32"/>
  <c r="K68" i="35"/>
  <c r="J21" i="29"/>
  <c r="M92" i="35"/>
  <c r="K93" i="35"/>
  <c r="M102" i="35"/>
  <c r="M103" i="35"/>
  <c r="D65" i="27"/>
  <c r="M104" i="35"/>
  <c r="M105" i="35"/>
  <c r="M106" i="35"/>
  <c r="M107" i="35"/>
  <c r="C87" i="27"/>
  <c r="C88" i="27" s="1"/>
  <c r="N126" i="35"/>
  <c r="M126" i="35"/>
  <c r="M127" i="35"/>
  <c r="M128" i="35"/>
  <c r="M129" i="35"/>
  <c r="K134" i="35"/>
  <c r="C138" i="27"/>
  <c r="I135" i="35"/>
  <c r="L135" i="35" s="1"/>
  <c r="M135" i="35" s="1"/>
  <c r="I138" i="35"/>
  <c r="L138" i="35" s="1"/>
  <c r="M138" i="35" s="1"/>
  <c r="I139" i="35"/>
  <c r="L139" i="35" s="1"/>
  <c r="M139" i="35" s="1"/>
  <c r="L105" i="35"/>
  <c r="L106" i="35"/>
  <c r="L107" i="35"/>
  <c r="L104" i="35"/>
  <c r="I56" i="35"/>
  <c r="I57" i="35"/>
  <c r="A59" i="35"/>
  <c r="A60" i="35"/>
  <c r="A61" i="35"/>
  <c r="L95" i="35"/>
  <c r="L94" i="35"/>
  <c r="L92" i="35"/>
  <c r="L102" i="35"/>
  <c r="L101" i="35"/>
  <c r="L100" i="35"/>
  <c r="A62" i="32"/>
  <c r="A61" i="32"/>
  <c r="A60" i="32"/>
  <c r="A59" i="32"/>
  <c r="I35" i="35"/>
  <c r="A126" i="32"/>
  <c r="A123" i="32"/>
  <c r="A124" i="32"/>
  <c r="A125" i="32"/>
  <c r="A118" i="32"/>
  <c r="A119" i="32"/>
  <c r="A120" i="32"/>
  <c r="A121" i="32"/>
  <c r="A122" i="32"/>
  <c r="A117" i="32"/>
  <c r="E96" i="32"/>
  <c r="A35" i="35"/>
  <c r="A36" i="35"/>
  <c r="A37" i="35"/>
  <c r="A38" i="35"/>
  <c r="A202" i="32"/>
  <c r="A197" i="32"/>
  <c r="A192" i="32"/>
  <c r="L91" i="35"/>
  <c r="A182" i="32"/>
  <c r="A183" i="32"/>
  <c r="A29" i="35"/>
  <c r="A30" i="35"/>
  <c r="A31" i="35"/>
  <c r="A32" i="35"/>
  <c r="A201" i="32"/>
  <c r="A199" i="32"/>
  <c r="A198" i="32"/>
  <c r="A194" i="32"/>
  <c r="A195" i="32"/>
  <c r="A196" i="32"/>
  <c r="A193" i="32"/>
  <c r="A185" i="32"/>
  <c r="L84" i="35"/>
  <c r="L83" i="35"/>
  <c r="A177" i="32"/>
  <c r="A176" i="32"/>
  <c r="B175" i="32"/>
  <c r="B166" i="32"/>
  <c r="B167" i="32"/>
  <c r="B168" i="32"/>
  <c r="B169" i="32"/>
  <c r="B170" i="32"/>
  <c r="B171" i="32"/>
  <c r="B172" i="32"/>
  <c r="B173" i="32"/>
  <c r="B174" i="32"/>
  <c r="B165" i="32"/>
  <c r="I9" i="35"/>
  <c r="L9" i="35" s="1"/>
  <c r="M9" i="35" s="1"/>
  <c r="I10" i="35"/>
  <c r="L10" i="35" s="1"/>
  <c r="M10" i="35" s="1"/>
  <c r="L8" i="35"/>
  <c r="B88" i="33"/>
  <c r="A158" i="32"/>
  <c r="A159" i="32"/>
  <c r="A160" i="32"/>
  <c r="A161" i="32"/>
  <c r="A157" i="32"/>
  <c r="A121" i="35"/>
  <c r="A122" i="35" s="1"/>
  <c r="A123" i="35" s="1"/>
  <c r="A124" i="35" s="1"/>
  <c r="A125" i="35" s="1"/>
  <c r="I61" i="29"/>
  <c r="I60" i="29"/>
  <c r="I59" i="29"/>
  <c r="K59" i="29" s="1"/>
  <c r="I58" i="29"/>
  <c r="I57" i="29"/>
  <c r="A127" i="35"/>
  <c r="A128" i="35"/>
  <c r="A129" i="35"/>
  <c r="A130" i="35"/>
  <c r="A131" i="35"/>
  <c r="A132" i="35"/>
  <c r="A133" i="35"/>
  <c r="L127" i="35"/>
  <c r="L128" i="35"/>
  <c r="L129" i="35"/>
  <c r="L126" i="35"/>
  <c r="A155" i="32"/>
  <c r="A152" i="32"/>
  <c r="A153" i="32"/>
  <c r="A154" i="32"/>
  <c r="A151" i="32"/>
  <c r="A138" i="32"/>
  <c r="A139" i="32"/>
  <c r="A140" i="32"/>
  <c r="A141" i="32"/>
  <c r="A144" i="32"/>
  <c r="A145" i="32"/>
  <c r="A146" i="32"/>
  <c r="A143" i="32"/>
  <c r="A137" i="32"/>
  <c r="B134" i="32"/>
  <c r="B135" i="32"/>
  <c r="B136" i="32"/>
  <c r="B133" i="32"/>
  <c r="A114" i="32"/>
  <c r="A116" i="32"/>
  <c r="A113" i="32"/>
  <c r="A109" i="32"/>
  <c r="A110" i="32"/>
  <c r="A111" i="32"/>
  <c r="A112" i="32"/>
  <c r="A108" i="32"/>
  <c r="B107" i="32"/>
  <c r="B97" i="32"/>
  <c r="B98" i="32"/>
  <c r="B99" i="32"/>
  <c r="B100" i="32"/>
  <c r="B101" i="32"/>
  <c r="B102" i="32"/>
  <c r="B103" i="32"/>
  <c r="B104" i="32"/>
  <c r="B105" i="32"/>
  <c r="B106" i="32"/>
  <c r="A96" i="32"/>
  <c r="A10" i="35"/>
  <c r="A9" i="35"/>
  <c r="C49" i="33"/>
  <c r="D49" i="33" s="1"/>
  <c r="D50" i="33" s="1"/>
  <c r="D51" i="33" s="1"/>
  <c r="C48" i="33"/>
  <c r="D48" i="33" s="1"/>
  <c r="D57" i="33"/>
  <c r="D59" i="33"/>
  <c r="C59" i="33"/>
  <c r="F22" i="39"/>
  <c r="C29" i="39"/>
  <c r="C30" i="39"/>
  <c r="F23" i="39"/>
  <c r="F24" i="39"/>
  <c r="D6" i="39"/>
  <c r="D7" i="39"/>
  <c r="D8" i="39"/>
  <c r="D9" i="39"/>
  <c r="D10" i="39"/>
  <c r="D11" i="39"/>
  <c r="D12" i="39"/>
  <c r="D13" i="39"/>
  <c r="D14" i="39"/>
  <c r="D15" i="39"/>
  <c r="D5" i="39"/>
  <c r="D74" i="33"/>
  <c r="D75" i="33" s="1"/>
  <c r="F51" i="33"/>
  <c r="M15" i="29"/>
  <c r="M16" i="29"/>
  <c r="M17" i="29"/>
  <c r="M18" i="29"/>
  <c r="M19" i="29"/>
  <c r="M20" i="29"/>
  <c r="M21" i="29"/>
  <c r="M22" i="29"/>
  <c r="M14" i="29"/>
  <c r="M35" i="29"/>
  <c r="M36" i="29"/>
  <c r="M37" i="29"/>
  <c r="M38" i="29"/>
  <c r="M39" i="29"/>
  <c r="M40" i="29"/>
  <c r="M41" i="29"/>
  <c r="A6" i="34"/>
  <c r="A7" i="34"/>
  <c r="A8" i="34"/>
  <c r="A9" i="34"/>
  <c r="A10" i="34"/>
  <c r="A11" i="34"/>
  <c r="A12" i="34"/>
  <c r="A13" i="34"/>
  <c r="A14" i="34"/>
  <c r="A16" i="34"/>
  <c r="A17" i="34"/>
  <c r="A18" i="34"/>
  <c r="A78" i="34" s="1"/>
  <c r="A19" i="34"/>
  <c r="Y18" i="34" s="1"/>
  <c r="A20" i="34"/>
  <c r="Y19" i="34" s="1"/>
  <c r="A21" i="34"/>
  <c r="A22" i="34"/>
  <c r="A23" i="34"/>
  <c r="A24" i="34"/>
  <c r="Y21" i="34" s="1"/>
  <c r="A25" i="34"/>
  <c r="Y22" i="34" s="1"/>
  <c r="A26" i="34"/>
  <c r="A27" i="34"/>
  <c r="A28" i="34"/>
  <c r="A29" i="34"/>
  <c r="A30" i="34"/>
  <c r="Y27" i="34" s="1"/>
  <c r="A32" i="34"/>
  <c r="A34" i="34"/>
  <c r="A35" i="34"/>
  <c r="H20" i="34"/>
  <c r="L21" i="34"/>
  <c r="L27" i="34"/>
  <c r="L26" i="34"/>
  <c r="C27" i="34"/>
  <c r="C26" i="34"/>
  <c r="C82" i="34" s="1"/>
  <c r="C51" i="34"/>
  <c r="C50" i="34"/>
  <c r="C41" i="34"/>
  <c r="A148" i="27"/>
  <c r="A149" i="27"/>
  <c r="A150" i="27"/>
  <c r="A151" i="27"/>
  <c r="A152" i="27"/>
  <c r="A153" i="27"/>
  <c r="A155" i="27"/>
  <c r="A156" i="27"/>
  <c r="A157" i="27"/>
  <c r="E160" i="27" s="1"/>
  <c r="A158" i="27"/>
  <c r="A159" i="27"/>
  <c r="A160" i="27"/>
  <c r="A161" i="27"/>
  <c r="A162" i="27"/>
  <c r="A163" i="27"/>
  <c r="A164" i="27"/>
  <c r="A165" i="27"/>
  <c r="A166" i="27"/>
  <c r="A167" i="27"/>
  <c r="A168" i="27"/>
  <c r="A169" i="27"/>
  <c r="A170" i="27"/>
  <c r="E171" i="27" s="1"/>
  <c r="A171" i="27"/>
  <c r="A172" i="27"/>
  <c r="A173" i="27"/>
  <c r="A174" i="27"/>
  <c r="A175" i="27"/>
  <c r="A176" i="27"/>
  <c r="A177" i="27"/>
  <c r="A178" i="27"/>
  <c r="A179" i="27"/>
  <c r="A180" i="27"/>
  <c r="A181" i="27"/>
  <c r="A182" i="27"/>
  <c r="A183" i="27"/>
  <c r="A184" i="27"/>
  <c r="A185" i="27"/>
  <c r="E189" i="27" s="1"/>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E127" i="27"/>
  <c r="E124" i="27"/>
  <c r="A219" i="27"/>
  <c r="A220" i="27"/>
  <c r="A221" i="27"/>
  <c r="A222" i="27"/>
  <c r="A223" i="27"/>
  <c r="A224" i="27"/>
  <c r="A225" i="27"/>
  <c r="A226" i="27"/>
  <c r="A227" i="27"/>
  <c r="A228" i="27"/>
  <c r="A229" i="27"/>
  <c r="A230" i="27"/>
  <c r="A231" i="27"/>
  <c r="A232" i="27"/>
  <c r="A233" i="27"/>
  <c r="A234" i="27"/>
  <c r="A235" i="27"/>
  <c r="A236" i="27"/>
  <c r="A237" i="27"/>
  <c r="A238" i="27"/>
  <c r="A239" i="27"/>
  <c r="A240" i="27"/>
  <c r="A241" i="27"/>
  <c r="A242" i="27"/>
  <c r="A243" i="27"/>
  <c r="A244" i="27"/>
  <c r="A245" i="27"/>
  <c r="A246" i="27"/>
  <c r="A247" i="27"/>
  <c r="A248" i="27"/>
  <c r="A249" i="27"/>
  <c r="A250" i="27"/>
  <c r="A251" i="27"/>
  <c r="A252" i="27"/>
  <c r="A253" i="27"/>
  <c r="A254" i="27"/>
  <c r="A255" i="27"/>
  <c r="A256" i="27"/>
  <c r="A257" i="27"/>
  <c r="A258" i="27"/>
  <c r="A259" i="27"/>
  <c r="E122" i="27"/>
  <c r="E121" i="27"/>
  <c r="A87" i="32"/>
  <c r="I20" i="34"/>
  <c r="AB19" i="34" s="1"/>
  <c r="I21" i="34"/>
  <c r="AB20" i="34" s="1"/>
  <c r="F34" i="34"/>
  <c r="F9" i="29" s="1"/>
  <c r="I56" i="29" s="1"/>
  <c r="J27" i="34"/>
  <c r="K27" i="34"/>
  <c r="K26" i="34"/>
  <c r="A3" i="38"/>
  <c r="B25" i="38"/>
  <c r="B26" i="38"/>
  <c r="B27" i="38"/>
  <c r="B28" i="38"/>
  <c r="B29" i="38"/>
  <c r="A88" i="32"/>
  <c r="A86" i="32"/>
  <c r="M18" i="34"/>
  <c r="M21" i="34" s="1"/>
  <c r="M25" i="34"/>
  <c r="M27" i="34" s="1"/>
  <c r="M24" i="34"/>
  <c r="M26" i="34" s="1"/>
  <c r="A79" i="32"/>
  <c r="A80" i="32"/>
  <c r="A81" i="32"/>
  <c r="A71" i="32"/>
  <c r="F35" i="34"/>
  <c r="E9" i="29" s="1"/>
  <c r="I46" i="29" s="1"/>
  <c r="A72" i="32"/>
  <c r="A73" i="32"/>
  <c r="A29" i="32"/>
  <c r="A34" i="32"/>
  <c r="D78" i="35"/>
  <c r="D79" i="35"/>
  <c r="D80" i="35"/>
  <c r="D81" i="35"/>
  <c r="D82" i="35"/>
  <c r="D77" i="35"/>
  <c r="C192" i="27"/>
  <c r="E184" i="27"/>
  <c r="C16" i="34"/>
  <c r="D16" i="34" s="1"/>
  <c r="E16" i="34" s="1"/>
  <c r="F16" i="34" s="1"/>
  <c r="G16" i="34" s="1"/>
  <c r="H16" i="34" s="1"/>
  <c r="I16" i="34" s="1"/>
  <c r="J16" i="34" s="1"/>
  <c r="K16" i="34" s="1"/>
  <c r="L16" i="34" s="1"/>
  <c r="M16" i="34" s="1"/>
  <c r="N16" i="34" s="1"/>
  <c r="E139" i="27"/>
  <c r="D138" i="27"/>
  <c r="E123" i="27"/>
  <c r="A7" i="27"/>
  <c r="E71" i="27" s="1"/>
  <c r="P27" i="34"/>
  <c r="P26" i="34"/>
  <c r="Q25" i="34"/>
  <c r="Q27" i="34" s="1"/>
  <c r="Q26" i="34"/>
  <c r="A5" i="34"/>
  <c r="B3" i="28"/>
  <c r="B4" i="28"/>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A182" i="28"/>
  <c r="A183"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58" i="28"/>
  <c r="A157" i="28"/>
  <c r="A154" i="28"/>
  <c r="A155" i="28"/>
  <c r="A156" i="28"/>
  <c r="A133" i="28"/>
  <c r="A134" i="28"/>
  <c r="A135" i="28"/>
  <c r="A136" i="28"/>
  <c r="A137" i="28"/>
  <c r="A138" i="28"/>
  <c r="A139" i="28"/>
  <c r="A140" i="28"/>
  <c r="A141" i="28"/>
  <c r="A142" i="28"/>
  <c r="A143" i="28"/>
  <c r="A144" i="28"/>
  <c r="A145" i="28"/>
  <c r="A146" i="28"/>
  <c r="A147" i="28"/>
  <c r="A148" i="28"/>
  <c r="A149" i="28"/>
  <c r="A150" i="28"/>
  <c r="A151" i="28"/>
  <c r="A152" i="28"/>
  <c r="A153" i="28"/>
  <c r="A132" i="28"/>
  <c r="A4" i="27"/>
  <c r="A5" i="27"/>
  <c r="A6" i="27"/>
  <c r="A8" i="27"/>
  <c r="A9" i="27"/>
  <c r="A10" i="27"/>
  <c r="A11" i="27"/>
  <c r="AD20" i="34" s="1"/>
  <c r="A12" i="27"/>
  <c r="E111" i="27" s="1"/>
  <c r="A13" i="27"/>
  <c r="A14" i="27"/>
  <c r="A15" i="27"/>
  <c r="A16" i="27"/>
  <c r="E24" i="27"/>
  <c r="E28" i="27"/>
  <c r="E29" i="27"/>
  <c r="E31" i="27"/>
  <c r="A28" i="28"/>
  <c r="E30" i="27"/>
  <c r="A29" i="28"/>
  <c r="A30" i="28"/>
  <c r="E32" i="27"/>
  <c r="A31" i="28"/>
  <c r="A32" i="28"/>
  <c r="A33" i="28"/>
  <c r="A34" i="28"/>
  <c r="E36" i="27"/>
  <c r="A35" i="28"/>
  <c r="A36" i="28"/>
  <c r="AD21" i="34"/>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E109" i="27"/>
  <c r="A65" i="28"/>
  <c r="A66" i="28"/>
  <c r="A67" i="28"/>
  <c r="A68" i="28"/>
  <c r="A69" i="28"/>
  <c r="A70" i="28"/>
  <c r="A71" i="28"/>
  <c r="A72" i="28"/>
  <c r="A73" i="28"/>
  <c r="A74" i="28"/>
  <c r="A75" i="28"/>
  <c r="A76" i="28"/>
  <c r="A77" i="28"/>
  <c r="A78" i="28"/>
  <c r="E96" i="27"/>
  <c r="A79" i="28"/>
  <c r="A80" i="28"/>
  <c r="A81" i="28"/>
  <c r="A82" i="28"/>
  <c r="A83" i="28"/>
  <c r="E100" i="27"/>
  <c r="A84" i="28"/>
  <c r="A85" i="28"/>
  <c r="A86" i="28"/>
  <c r="A87" i="28"/>
  <c r="A88" i="28"/>
  <c r="A89" i="28"/>
  <c r="A90" i="28"/>
  <c r="A91" i="28"/>
  <c r="A92" i="28"/>
  <c r="A93" i="28"/>
  <c r="A94" i="28"/>
  <c r="A95" i="28"/>
  <c r="A96" i="28"/>
  <c r="E113" i="27"/>
  <c r="A97" i="28"/>
  <c r="A98" i="28"/>
  <c r="A99" i="28"/>
  <c r="A100" i="28"/>
  <c r="E118" i="27"/>
  <c r="A101" i="28"/>
  <c r="A102" i="28"/>
  <c r="E120" i="27"/>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E43" i="27"/>
  <c r="E112" i="27"/>
  <c r="E110" i="27"/>
  <c r="E119" i="27"/>
  <c r="E115" i="27"/>
  <c r="E98" i="27"/>
  <c r="E99" i="27"/>
  <c r="E169" i="27"/>
  <c r="B24" i="38"/>
  <c r="A23" i="38"/>
  <c r="B42" i="38"/>
  <c r="B43" i="38"/>
  <c r="B34" i="38"/>
  <c r="B35" i="38"/>
  <c r="B5" i="38"/>
  <c r="B6" i="38"/>
  <c r="B7" i="38"/>
  <c r="B8" i="38"/>
  <c r="B9" i="38"/>
  <c r="B10" i="38"/>
  <c r="B11" i="38"/>
  <c r="B12" i="38"/>
  <c r="B13" i="38"/>
  <c r="B14" i="38"/>
  <c r="B15" i="38"/>
  <c r="B16" i="38"/>
  <c r="B17" i="38"/>
  <c r="B18" i="38"/>
  <c r="L103" i="35"/>
  <c r="A69" i="32"/>
  <c r="A67" i="32"/>
  <c r="A68" i="32"/>
  <c r="A52" i="32"/>
  <c r="A24" i="32"/>
  <c r="A25" i="32"/>
  <c r="A26" i="32"/>
  <c r="A27" i="32"/>
  <c r="A23" i="32"/>
  <c r="A33" i="35"/>
  <c r="A28" i="32"/>
  <c r="A33" i="32"/>
  <c r="A78" i="32"/>
  <c r="A70" i="32"/>
  <c r="A51" i="32"/>
  <c r="A20" i="32"/>
  <c r="A22" i="32"/>
  <c r="A19" i="32"/>
  <c r="D47" i="33"/>
  <c r="A108" i="35"/>
  <c r="A109" i="35"/>
  <c r="A110" i="35"/>
  <c r="A111" i="35"/>
  <c r="A79" i="35"/>
  <c r="A80" i="35"/>
  <c r="A81" i="35"/>
  <c r="A82" i="35"/>
  <c r="A72" i="35"/>
  <c r="A73" i="35"/>
  <c r="A74" i="35"/>
  <c r="A75" i="35"/>
  <c r="E74" i="27"/>
  <c r="E73" i="27"/>
  <c r="F9" i="27"/>
  <c r="F10" i="27" s="1"/>
  <c r="F11" i="27" s="1"/>
  <c r="H62" i="29"/>
  <c r="K61" i="29"/>
  <c r="K60" i="29"/>
  <c r="K58" i="29"/>
  <c r="J37" i="29"/>
  <c r="J36" i="29"/>
  <c r="K37" i="29"/>
  <c r="I50" i="29"/>
  <c r="I51" i="29"/>
  <c r="I49" i="29"/>
  <c r="K50" i="29" s="1"/>
  <c r="N104" i="35"/>
  <c r="I47" i="29"/>
  <c r="J39" i="29"/>
  <c r="I40" i="29"/>
  <c r="J40" i="29" s="1"/>
  <c r="J38" i="29"/>
  <c r="I35" i="29"/>
  <c r="J35" i="29"/>
  <c r="F34" i="29"/>
  <c r="N94" i="35" s="1"/>
  <c r="G34" i="29"/>
  <c r="F41" i="34"/>
  <c r="J19" i="34"/>
  <c r="A3" i="27"/>
  <c r="G18" i="34"/>
  <c r="G21" i="34" s="1"/>
  <c r="F23" i="34"/>
  <c r="G23" i="34" s="1"/>
  <c r="F22" i="34"/>
  <c r="G22" i="34" s="1"/>
  <c r="E10" i="34"/>
  <c r="C11" i="27"/>
  <c r="C10" i="34" s="1"/>
  <c r="B4" i="34"/>
  <c r="C4" i="34"/>
  <c r="D4" i="34"/>
  <c r="E4" i="34"/>
  <c r="A4" i="34"/>
  <c r="C62" i="34"/>
  <c r="C64" i="34"/>
  <c r="C63" i="34"/>
  <c r="C69" i="34"/>
  <c r="C13" i="34"/>
  <c r="C14" i="34" s="1"/>
  <c r="E45" i="27"/>
  <c r="E37" i="27"/>
  <c r="E33" i="27"/>
  <c r="C6" i="27"/>
  <c r="I48" i="29"/>
  <c r="H52" i="29"/>
  <c r="K48" i="29"/>
  <c r="K49" i="29"/>
  <c r="K51" i="29"/>
  <c r="H22" i="29"/>
  <c r="H41" i="29"/>
  <c r="K35" i="29"/>
  <c r="K36" i="29"/>
  <c r="E6" i="29"/>
  <c r="D7" i="29"/>
  <c r="E7" i="29" s="1"/>
  <c r="F7" i="29" s="1"/>
  <c r="D5" i="29"/>
  <c r="E5" i="29"/>
  <c r="F5" i="29" s="1"/>
  <c r="F6" i="29"/>
  <c r="L46" i="29"/>
  <c r="K46" i="29"/>
  <c r="J46" i="29"/>
  <c r="D6" i="29"/>
  <c r="C152" i="33"/>
  <c r="D152" i="33"/>
  <c r="D142" i="33"/>
  <c r="D133" i="33"/>
  <c r="D134" i="33" s="1"/>
  <c r="C170" i="33"/>
  <c r="C148" i="33"/>
  <c r="C145" i="33"/>
  <c r="C136" i="33"/>
  <c r="C139" i="33"/>
  <c r="C135" i="33"/>
  <c r="C134" i="33"/>
  <c r="J49" i="30"/>
  <c r="F30" i="30"/>
  <c r="H30" i="30"/>
  <c r="H29" i="30"/>
  <c r="F29" i="30"/>
  <c r="K39" i="29"/>
  <c r="K38" i="29"/>
  <c r="J34" i="29"/>
  <c r="K34" i="29"/>
  <c r="L34" i="29"/>
  <c r="G54" i="30"/>
  <c r="G53" i="30"/>
  <c r="L31" i="30"/>
  <c r="L32" i="30"/>
  <c r="G32" i="30"/>
  <c r="L35" i="30"/>
  <c r="G35" i="30"/>
  <c r="L33" i="30"/>
  <c r="G33" i="30"/>
  <c r="G31" i="30"/>
  <c r="L34" i="30"/>
  <c r="G34" i="30"/>
  <c r="F46" i="30"/>
  <c r="J46" i="30"/>
  <c r="K44" i="30"/>
  <c r="G44" i="30"/>
  <c r="L42" i="30"/>
  <c r="G42" i="30"/>
  <c r="F40" i="30"/>
  <c r="G40" i="30"/>
  <c r="L41" i="30"/>
  <c r="G41" i="30"/>
  <c r="F43" i="30"/>
  <c r="G43" i="30"/>
  <c r="I43" i="30"/>
  <c r="L39" i="30"/>
  <c r="G39" i="30"/>
  <c r="K38" i="30"/>
  <c r="L38" i="30"/>
  <c r="F37" i="30"/>
  <c r="K37" i="30"/>
  <c r="L36" i="30"/>
  <c r="G36" i="30"/>
  <c r="A46" i="30"/>
  <c r="A45" i="30"/>
  <c r="A43" i="30"/>
  <c r="A40" i="30"/>
  <c r="A38" i="30"/>
  <c r="A23" i="30"/>
  <c r="C22" i="30"/>
  <c r="C24" i="30"/>
  <c r="A21" i="30"/>
  <c r="A18" i="30"/>
  <c r="K17" i="29"/>
  <c r="K18" i="29"/>
  <c r="K19" i="29"/>
  <c r="K20" i="29"/>
  <c r="K21" i="29"/>
  <c r="A23" i="29"/>
  <c r="A22" i="29"/>
  <c r="A21" i="29"/>
  <c r="A19" i="29"/>
  <c r="A17" i="29"/>
  <c r="C23" i="27"/>
  <c r="G47" i="30"/>
  <c r="F52" i="30"/>
  <c r="I55" i="30"/>
  <c r="K39" i="30"/>
  <c r="K36" i="30"/>
  <c r="C156" i="27"/>
  <c r="K40" i="30"/>
  <c r="K41" i="30"/>
  <c r="K16" i="29"/>
  <c r="E23" i="27"/>
  <c r="F62" i="30"/>
  <c r="F63" i="30"/>
  <c r="G62" i="30"/>
  <c r="G63" i="30"/>
  <c r="E7" i="6"/>
  <c r="H7" i="6"/>
  <c r="F7" i="6"/>
  <c r="D6" i="6"/>
  <c r="C6" i="6"/>
  <c r="D5" i="6"/>
  <c r="C5" i="6"/>
  <c r="C36" i="6"/>
  <c r="C39" i="6"/>
  <c r="C40" i="6"/>
  <c r="B36" i="6"/>
  <c r="B39" i="6" s="1"/>
  <c r="B40" i="6" s="1"/>
  <c r="I27" i="6"/>
  <c r="E28" i="6"/>
  <c r="E19" i="6"/>
  <c r="A21" i="19"/>
  <c r="A29" i="19"/>
  <c r="A30" i="19"/>
  <c r="A31" i="19"/>
  <c r="A22" i="19"/>
  <c r="A23" i="19"/>
  <c r="A24" i="19"/>
  <c r="A28" i="19"/>
  <c r="A16" i="19"/>
  <c r="A15" i="19"/>
  <c r="A17" i="19"/>
  <c r="A18" i="19"/>
  <c r="A19" i="19"/>
  <c r="A8" i="19"/>
  <c r="A5" i="19"/>
  <c r="A4" i="19"/>
  <c r="A3" i="19"/>
  <c r="A32" i="19"/>
  <c r="A33" i="19"/>
  <c r="A25" i="19"/>
  <c r="A76" i="6"/>
  <c r="A77" i="6"/>
  <c r="A65" i="6"/>
  <c r="A66" i="6" s="1"/>
  <c r="A68" i="6" s="1"/>
  <c r="F56" i="33" l="1"/>
  <c r="C140" i="33"/>
  <c r="D140" i="33" s="1"/>
  <c r="F68" i="33"/>
  <c r="F59" i="33"/>
  <c r="F54" i="33"/>
  <c r="E17" i="33"/>
  <c r="D141" i="33"/>
  <c r="D153" i="33" s="1"/>
  <c r="C141" i="33"/>
  <c r="E16" i="33"/>
  <c r="C16" i="33"/>
  <c r="G98" i="33" s="1"/>
  <c r="E27" i="33"/>
  <c r="E24" i="33"/>
  <c r="E20" i="33"/>
  <c r="K40" i="29"/>
  <c r="M34" i="29"/>
  <c r="M94" i="35"/>
  <c r="D11" i="29"/>
  <c r="G53" i="33"/>
  <c r="G55" i="33" s="1"/>
  <c r="G51" i="33"/>
  <c r="G52" i="33" s="1"/>
  <c r="C50" i="33"/>
  <c r="C51" i="33" s="1"/>
  <c r="B89" i="33"/>
  <c r="B93" i="33"/>
  <c r="B114" i="33"/>
  <c r="B113" i="33"/>
  <c r="B116" i="33" s="1"/>
  <c r="I136" i="35" s="1"/>
  <c r="L136" i="35" s="1"/>
  <c r="M136" i="35" s="1"/>
  <c r="B97" i="33"/>
  <c r="B99" i="33" s="1"/>
  <c r="E11" i="27"/>
  <c r="C7" i="6"/>
  <c r="G7" i="6" s="1"/>
  <c r="I7" i="6" s="1"/>
  <c r="D7" i="6"/>
  <c r="C36" i="34"/>
  <c r="C54" i="27" s="1"/>
  <c r="E17" i="27"/>
  <c r="C30" i="27"/>
  <c r="C32" i="27" s="1"/>
  <c r="E196" i="27"/>
  <c r="E193" i="27"/>
  <c r="E168" i="27"/>
  <c r="C112" i="27"/>
  <c r="E165" i="27"/>
  <c r="C36" i="27"/>
  <c r="C37" i="27" s="1"/>
  <c r="C43" i="27" s="1"/>
  <c r="C33" i="27"/>
  <c r="H25" i="34"/>
  <c r="AA22" i="34" s="1"/>
  <c r="C99" i="27"/>
  <c r="C100" i="27" s="1"/>
  <c r="C189" i="27" s="1"/>
  <c r="C135" i="27"/>
  <c r="C190" i="27"/>
  <c r="I43" i="35"/>
  <c r="C183" i="27"/>
  <c r="C184" i="27" s="1"/>
  <c r="D39" i="35" s="1"/>
  <c r="L39" i="35" s="1"/>
  <c r="D35" i="35"/>
  <c r="L35" i="35" s="1"/>
  <c r="M35" i="35" s="1"/>
  <c r="I41" i="35"/>
  <c r="I74" i="35"/>
  <c r="A43" i="32" s="1"/>
  <c r="D12" i="35"/>
  <c r="D13" i="35" s="1"/>
  <c r="D14" i="35" s="1"/>
  <c r="E6" i="27"/>
  <c r="E170" i="27"/>
  <c r="E16" i="27"/>
  <c r="C164" i="27"/>
  <c r="I69" i="35"/>
  <c r="C163" i="27"/>
  <c r="I76" i="35"/>
  <c r="L76" i="35" s="1"/>
  <c r="M76" i="35" s="1"/>
  <c r="I85" i="35"/>
  <c r="I96" i="35"/>
  <c r="A63" i="32" s="1"/>
  <c r="L11" i="35"/>
  <c r="M11" i="35" s="1"/>
  <c r="D122" i="35"/>
  <c r="L122" i="35" s="1"/>
  <c r="L120" i="35"/>
  <c r="N120" i="35" s="1"/>
  <c r="C89" i="27"/>
  <c r="A15" i="32"/>
  <c r="A133" i="32" s="1"/>
  <c r="I130" i="35"/>
  <c r="I108" i="35"/>
  <c r="A288" i="32"/>
  <c r="I82" i="35"/>
  <c r="A50" i="32" s="1"/>
  <c r="E44" i="27"/>
  <c r="I99" i="35"/>
  <c r="A181" i="32" s="1"/>
  <c r="I90" i="35"/>
  <c r="I86" i="35"/>
  <c r="I60" i="35"/>
  <c r="A253" i="32" s="1"/>
  <c r="I73" i="35"/>
  <c r="A42" i="32" s="1"/>
  <c r="I13" i="35"/>
  <c r="A200" i="32" s="1"/>
  <c r="I98" i="35"/>
  <c r="A236" i="32" s="1"/>
  <c r="I89" i="35"/>
  <c r="I87" i="35"/>
  <c r="I42" i="35"/>
  <c r="I72" i="35"/>
  <c r="A41" i="32" s="1"/>
  <c r="N24" i="34"/>
  <c r="N26" i="34" s="1"/>
  <c r="I97" i="35"/>
  <c r="A64" i="32" s="1"/>
  <c r="I88" i="35"/>
  <c r="A245" i="32" s="1"/>
  <c r="C110" i="27"/>
  <c r="C111" i="27" s="1"/>
  <c r="C113" i="27" s="1"/>
  <c r="C114" i="27" s="1"/>
  <c r="C115" i="27" s="1"/>
  <c r="I71" i="35"/>
  <c r="A40" i="32" s="1"/>
  <c r="I25" i="34"/>
  <c r="AB22" i="34" s="1"/>
  <c r="A83" i="34"/>
  <c r="Y24" i="34"/>
  <c r="A82" i="34"/>
  <c r="Y23" i="34"/>
  <c r="A84" i="34"/>
  <c r="Y25" i="34"/>
  <c r="A85" i="34"/>
  <c r="E86" i="34" s="1"/>
  <c r="Y26" i="34"/>
  <c r="H27" i="34"/>
  <c r="AA24" i="34" s="1"/>
  <c r="H21" i="34"/>
  <c r="AA20" i="34" s="1"/>
  <c r="AA19" i="34"/>
  <c r="C121" i="27"/>
  <c r="E117" i="35" s="1"/>
  <c r="A81" i="34"/>
  <c r="A80" i="34"/>
  <c r="A79" i="34"/>
  <c r="Y20" i="34"/>
  <c r="P20" i="34"/>
  <c r="P21" i="34" s="1"/>
  <c r="Q20" i="34"/>
  <c r="J20" i="34"/>
  <c r="A86" i="34"/>
  <c r="E66" i="27"/>
  <c r="A44" i="32"/>
  <c r="L12" i="35"/>
  <c r="M12" i="35" s="1"/>
  <c r="L75" i="35"/>
  <c r="M75" i="35" s="1"/>
  <c r="I58" i="35"/>
  <c r="A251" i="32" s="1"/>
  <c r="A5" i="32"/>
  <c r="A97" i="32"/>
  <c r="L71" i="35"/>
  <c r="M71" i="35" s="1"/>
  <c r="D16" i="35"/>
  <c r="A165" i="32"/>
  <c r="L112" i="35"/>
  <c r="L89" i="35"/>
  <c r="M89" i="35" s="1"/>
  <c r="A287" i="32"/>
  <c r="L74" i="35"/>
  <c r="M74" i="35" s="1"/>
  <c r="I81" i="35"/>
  <c r="A234" i="32"/>
  <c r="A221" i="32"/>
  <c r="J57" i="29"/>
  <c r="J61" i="29"/>
  <c r="M28" i="34"/>
  <c r="M29" i="34" s="1"/>
  <c r="M30" i="34" s="1"/>
  <c r="P28" i="34"/>
  <c r="P29" i="34" s="1"/>
  <c r="L28" i="34"/>
  <c r="L29" i="34" s="1"/>
  <c r="C8" i="29" s="1"/>
  <c r="R28" i="34"/>
  <c r="R29" i="34" s="1"/>
  <c r="R30" i="34" s="1"/>
  <c r="C21" i="34"/>
  <c r="C79" i="34" s="1"/>
  <c r="C65" i="34"/>
  <c r="C66" i="34" s="1"/>
  <c r="C71" i="34" s="1"/>
  <c r="C73" i="34" s="1"/>
  <c r="E62" i="34"/>
  <c r="J48" i="29"/>
  <c r="J51" i="29"/>
  <c r="J50" i="29"/>
  <c r="J47" i="29"/>
  <c r="J49" i="29"/>
  <c r="K47" i="29"/>
  <c r="E101" i="27"/>
  <c r="P16" i="34"/>
  <c r="Q16" i="34" s="1"/>
  <c r="J59" i="29"/>
  <c r="E39" i="27"/>
  <c r="F26" i="34"/>
  <c r="G26" i="34" s="1"/>
  <c r="C83" i="34"/>
  <c r="K57" i="29"/>
  <c r="E40" i="27"/>
  <c r="E75" i="27"/>
  <c r="J21" i="34"/>
  <c r="F27" i="34"/>
  <c r="C53" i="34"/>
  <c r="J60" i="29"/>
  <c r="J58" i="29"/>
  <c r="T30" i="34"/>
  <c r="C153" i="33" l="1"/>
  <c r="C150" i="33"/>
  <c r="C157" i="33" s="1"/>
  <c r="B120" i="33"/>
  <c r="B121" i="33"/>
  <c r="B122" i="33" s="1"/>
  <c r="B117" i="33"/>
  <c r="I137" i="35" s="1"/>
  <c r="L137" i="35" s="1"/>
  <c r="M137" i="35" s="1"/>
  <c r="B101" i="33"/>
  <c r="B102" i="33" s="1"/>
  <c r="B103" i="33" s="1"/>
  <c r="B94" i="33"/>
  <c r="B91" i="33"/>
  <c r="B90" i="33"/>
  <c r="A285" i="32"/>
  <c r="L72" i="35"/>
  <c r="M72" i="35" s="1"/>
  <c r="A178" i="32"/>
  <c r="M120" i="35"/>
  <c r="D41" i="35"/>
  <c r="D42" i="35" s="1"/>
  <c r="D43" i="35" s="1"/>
  <c r="D56" i="35" s="1"/>
  <c r="C45" i="27"/>
  <c r="E113" i="35"/>
  <c r="E115" i="35"/>
  <c r="D29" i="35"/>
  <c r="D34" i="35" s="1"/>
  <c r="L34" i="35" s="1"/>
  <c r="D28" i="35"/>
  <c r="L73" i="35"/>
  <c r="M73" i="35" s="1"/>
  <c r="L96" i="35"/>
  <c r="M96" i="35" s="1"/>
  <c r="D40" i="35"/>
  <c r="L40" i="35" s="1"/>
  <c r="M40" i="35" s="1"/>
  <c r="A235" i="32"/>
  <c r="D37" i="35"/>
  <c r="L37" i="35" s="1"/>
  <c r="M37" i="35" s="1"/>
  <c r="D36" i="35"/>
  <c r="L36" i="35" s="1"/>
  <c r="M36" i="35" s="1"/>
  <c r="D38" i="35"/>
  <c r="L38" i="35" s="1"/>
  <c r="M38" i="35" s="1"/>
  <c r="I80" i="35"/>
  <c r="I27" i="34"/>
  <c r="AB24" i="34" s="1"/>
  <c r="L42" i="35"/>
  <c r="M42" i="35" s="1"/>
  <c r="N39" i="35"/>
  <c r="M39" i="35"/>
  <c r="E11" i="35"/>
  <c r="E40" i="35"/>
  <c r="E41" i="35"/>
  <c r="E53" i="35"/>
  <c r="E48" i="35"/>
  <c r="E47" i="35"/>
  <c r="E43" i="35"/>
  <c r="E15" i="35"/>
  <c r="E46" i="35"/>
  <c r="E28" i="35"/>
  <c r="E29" i="35"/>
  <c r="E116" i="35"/>
  <c r="E123" i="35"/>
  <c r="E122" i="35"/>
  <c r="E59" i="35"/>
  <c r="E56" i="35"/>
  <c r="E58" i="35"/>
  <c r="E12" i="35"/>
  <c r="C122" i="27"/>
  <c r="E33" i="35"/>
  <c r="L82" i="35"/>
  <c r="M82" i="35" s="1"/>
  <c r="A284" i="32"/>
  <c r="A115" i="32"/>
  <c r="A259" i="32"/>
  <c r="A32" i="32"/>
  <c r="A37" i="32" s="1"/>
  <c r="E120" i="35"/>
  <c r="E121" i="35"/>
  <c r="E31" i="35"/>
  <c r="E112" i="35"/>
  <c r="E45" i="35"/>
  <c r="E60" i="35"/>
  <c r="E51" i="35"/>
  <c r="E125" i="35"/>
  <c r="E32" i="35"/>
  <c r="E119" i="35"/>
  <c r="E118" i="35"/>
  <c r="E61" i="35"/>
  <c r="E44" i="35"/>
  <c r="E42" i="35"/>
  <c r="E50" i="35"/>
  <c r="E39" i="35"/>
  <c r="A257" i="32"/>
  <c r="A30" i="32"/>
  <c r="A35" i="32" s="1"/>
  <c r="A286" i="32"/>
  <c r="N11" i="35"/>
  <c r="L88" i="35"/>
  <c r="M88" i="35" s="1"/>
  <c r="A180" i="32"/>
  <c r="E124" i="35"/>
  <c r="E16" i="35"/>
  <c r="E30" i="35"/>
  <c r="E114" i="35"/>
  <c r="E57" i="35"/>
  <c r="E14" i="35"/>
  <c r="E49" i="35"/>
  <c r="E13" i="35"/>
  <c r="E52" i="35"/>
  <c r="E55" i="35"/>
  <c r="E54" i="35"/>
  <c r="I79" i="35"/>
  <c r="A279" i="32" s="1"/>
  <c r="A282" i="32"/>
  <c r="A65" i="32"/>
  <c r="L98" i="35"/>
  <c r="M98" i="35" s="1"/>
  <c r="L41" i="35"/>
  <c r="M41" i="35" s="1"/>
  <c r="C165" i="27"/>
  <c r="A16" i="32"/>
  <c r="A134" i="32" s="1"/>
  <c r="I109" i="35"/>
  <c r="C90" i="27"/>
  <c r="I131" i="35"/>
  <c r="D115" i="35"/>
  <c r="L115" i="35" s="1"/>
  <c r="D117" i="35"/>
  <c r="D119" i="35"/>
  <c r="D113" i="35"/>
  <c r="L113" i="35" s="1"/>
  <c r="D116" i="35"/>
  <c r="L116" i="35" s="1"/>
  <c r="M116" i="35" s="1"/>
  <c r="D118" i="35"/>
  <c r="D114" i="35"/>
  <c r="L114" i="35" s="1"/>
  <c r="D125" i="35"/>
  <c r="D121" i="35"/>
  <c r="L121" i="35" s="1"/>
  <c r="N121" i="35" s="1"/>
  <c r="A56" i="32"/>
  <c r="L13" i="35"/>
  <c r="M13" i="35" s="1"/>
  <c r="L97" i="35"/>
  <c r="M97" i="35" s="1"/>
  <c r="A179" i="32"/>
  <c r="L87" i="35"/>
  <c r="M87" i="35" s="1"/>
  <c r="A188" i="32"/>
  <c r="A244" i="32"/>
  <c r="A55" i="32"/>
  <c r="A237" i="32"/>
  <c r="A66" i="32"/>
  <c r="L99" i="35"/>
  <c r="M99" i="35" s="1"/>
  <c r="A74" i="32"/>
  <c r="L108" i="35"/>
  <c r="M108" i="35" s="1"/>
  <c r="A147" i="32"/>
  <c r="H24" i="34"/>
  <c r="I24" i="34"/>
  <c r="C47" i="27"/>
  <c r="D124" i="35"/>
  <c r="L124" i="35" s="1"/>
  <c r="M124" i="35" s="1"/>
  <c r="A189" i="32"/>
  <c r="A246" i="32"/>
  <c r="A57" i="32"/>
  <c r="A190" i="32"/>
  <c r="A82" i="32"/>
  <c r="L130" i="35"/>
  <c r="M130" i="35" s="1"/>
  <c r="L69" i="35"/>
  <c r="M69" i="35" s="1"/>
  <c r="I70" i="35"/>
  <c r="I59" i="35"/>
  <c r="A252" i="32" s="1"/>
  <c r="A31" i="32"/>
  <c r="A36" i="32" s="1"/>
  <c r="A258" i="32"/>
  <c r="L90" i="35"/>
  <c r="M90" i="35" s="1"/>
  <c r="A58" i="32"/>
  <c r="A191" i="32"/>
  <c r="A247" i="32"/>
  <c r="D123" i="35"/>
  <c r="L123" i="35" s="1"/>
  <c r="N123" i="35" s="1"/>
  <c r="I78" i="35"/>
  <c r="A278" i="32" s="1"/>
  <c r="A21" i="32"/>
  <c r="L86" i="35"/>
  <c r="M86" i="35" s="1"/>
  <c r="A243" i="32"/>
  <c r="A187" i="32"/>
  <c r="A54" i="32"/>
  <c r="A242" i="32"/>
  <c r="A186" i="32"/>
  <c r="L85" i="35"/>
  <c r="M85" i="35" s="1"/>
  <c r="A53" i="32"/>
  <c r="C42" i="34"/>
  <c r="C43" i="34" s="1"/>
  <c r="C129" i="27" s="1"/>
  <c r="C28" i="34"/>
  <c r="C84" i="34" s="1"/>
  <c r="E8" i="29"/>
  <c r="E10" i="29" s="1"/>
  <c r="I52" i="29" s="1"/>
  <c r="F42" i="34"/>
  <c r="F43" i="34" s="1"/>
  <c r="L30" i="34"/>
  <c r="S20" i="34"/>
  <c r="S21" i="34" s="1"/>
  <c r="Q21" i="34"/>
  <c r="Q28" i="34" s="1"/>
  <c r="Q29" i="34" s="1"/>
  <c r="Q30" i="34" s="1"/>
  <c r="C40" i="27" s="1"/>
  <c r="D31" i="35"/>
  <c r="L31" i="35" s="1"/>
  <c r="M31" i="35" s="1"/>
  <c r="L28" i="35"/>
  <c r="L81" i="35"/>
  <c r="M81" i="35" s="1"/>
  <c r="A49" i="32"/>
  <c r="A281" i="32"/>
  <c r="L80" i="35"/>
  <c r="M80" i="35" s="1"/>
  <c r="A48" i="32"/>
  <c r="A280" i="32"/>
  <c r="D17" i="35"/>
  <c r="L14" i="35"/>
  <c r="M14" i="35" s="1"/>
  <c r="D15" i="35"/>
  <c r="D32" i="35"/>
  <c r="L32" i="35" s="1"/>
  <c r="M32" i="35" s="1"/>
  <c r="M112" i="35"/>
  <c r="N112" i="35"/>
  <c r="N122" i="35"/>
  <c r="M122" i="35"/>
  <c r="L78" i="35"/>
  <c r="M78" i="35" s="1"/>
  <c r="A46" i="32"/>
  <c r="L79" i="35"/>
  <c r="M79" i="35" s="1"/>
  <c r="L16" i="35"/>
  <c r="M16" i="35" s="1"/>
  <c r="D30" i="35"/>
  <c r="L30" i="35" s="1"/>
  <c r="M30" i="35" s="1"/>
  <c r="D19" i="35"/>
  <c r="A98" i="32"/>
  <c r="A222" i="32"/>
  <c r="A166" i="32"/>
  <c r="A6" i="32"/>
  <c r="C10" i="29"/>
  <c r="D8" i="29"/>
  <c r="D10" i="29" s="1"/>
  <c r="I22" i="29"/>
  <c r="F28" i="34"/>
  <c r="F29" i="34" s="1"/>
  <c r="F46" i="34" s="1"/>
  <c r="F50" i="34" s="1"/>
  <c r="G27" i="34"/>
  <c r="G28" i="34" s="1"/>
  <c r="G29" i="34" s="1"/>
  <c r="C29" i="34" l="1"/>
  <c r="C46" i="34" s="1"/>
  <c r="C68" i="27" s="1"/>
  <c r="B98" i="33"/>
  <c r="B92" i="33"/>
  <c r="C48" i="27"/>
  <c r="C56" i="27" s="1"/>
  <c r="C57" i="27" s="1"/>
  <c r="C58" i="27" s="1"/>
  <c r="F8" i="29"/>
  <c r="F10" i="29" s="1"/>
  <c r="G57" i="29" s="1"/>
  <c r="L56" i="35"/>
  <c r="D58" i="35"/>
  <c r="L58" i="35" s="1"/>
  <c r="M58" i="35" s="1"/>
  <c r="D44" i="35"/>
  <c r="D45" i="35" s="1"/>
  <c r="L43" i="35"/>
  <c r="M43" i="35" s="1"/>
  <c r="D57" i="35"/>
  <c r="L57" i="35" s="1"/>
  <c r="M57" i="35" s="1"/>
  <c r="L29" i="35"/>
  <c r="M29" i="35" s="1"/>
  <c r="D33" i="35"/>
  <c r="L33" i="35" s="1"/>
  <c r="M33" i="35" s="1"/>
  <c r="L44" i="35"/>
  <c r="M44" i="35" s="1"/>
  <c r="M121" i="35"/>
  <c r="A47" i="32"/>
  <c r="H26" i="34"/>
  <c r="U22" i="34"/>
  <c r="AA21" i="34"/>
  <c r="M113" i="35"/>
  <c r="N113" i="35"/>
  <c r="A39" i="32"/>
  <c r="A283" i="32"/>
  <c r="L70" i="35"/>
  <c r="M70" i="35" s="1"/>
  <c r="I77" i="35"/>
  <c r="M114" i="35"/>
  <c r="N114" i="35"/>
  <c r="I110" i="35"/>
  <c r="I132" i="35"/>
  <c r="A17" i="32"/>
  <c r="A135" i="32" s="1"/>
  <c r="C91" i="27"/>
  <c r="M123" i="35"/>
  <c r="A148" i="32"/>
  <c r="L109" i="35"/>
  <c r="M109" i="35" s="1"/>
  <c r="A75" i="32"/>
  <c r="L131" i="35"/>
  <c r="M131" i="35" s="1"/>
  <c r="A83" i="32"/>
  <c r="J24" i="34"/>
  <c r="J26" i="34" s="1"/>
  <c r="J28" i="34" s="1"/>
  <c r="J29" i="34" s="1"/>
  <c r="J30" i="34" s="1"/>
  <c r="C75" i="27" s="1"/>
  <c r="D75" i="27" s="1"/>
  <c r="I26" i="34"/>
  <c r="AB21" i="34"/>
  <c r="M115" i="35"/>
  <c r="N115" i="35"/>
  <c r="N28" i="35"/>
  <c r="M28" i="35"/>
  <c r="D46" i="35"/>
  <c r="D47" i="35"/>
  <c r="L45" i="35"/>
  <c r="D20" i="35"/>
  <c r="L17" i="35"/>
  <c r="N56" i="35"/>
  <c r="M56" i="35"/>
  <c r="A223" i="32"/>
  <c r="A7" i="32"/>
  <c r="A99" i="32"/>
  <c r="A167" i="32"/>
  <c r="D22" i="35"/>
  <c r="L19" i="35"/>
  <c r="M19" i="35" s="1"/>
  <c r="M34" i="35"/>
  <c r="N34" i="35"/>
  <c r="D59" i="35"/>
  <c r="D18" i="35"/>
  <c r="L15" i="35"/>
  <c r="M15" i="35" s="1"/>
  <c r="G49" i="29"/>
  <c r="M49" i="29" s="1"/>
  <c r="G47" i="29"/>
  <c r="G50" i="29"/>
  <c r="N109" i="35" s="1"/>
  <c r="K52" i="29"/>
  <c r="J52" i="29"/>
  <c r="G52" i="29" s="1"/>
  <c r="I62" i="29"/>
  <c r="K22" i="29"/>
  <c r="J22" i="29"/>
  <c r="F37" i="34"/>
  <c r="G35" i="29"/>
  <c r="G37" i="29"/>
  <c r="G36" i="29"/>
  <c r="G40" i="29"/>
  <c r="I41" i="29"/>
  <c r="G38" i="29"/>
  <c r="G39" i="29"/>
  <c r="C37" i="34"/>
  <c r="C85" i="34"/>
  <c r="C30" i="34"/>
  <c r="C86" i="34" s="1"/>
  <c r="G32" i="34"/>
  <c r="G60" i="29"/>
  <c r="G48" i="29"/>
  <c r="G51" i="29"/>
  <c r="G58" i="29"/>
  <c r="G19" i="29"/>
  <c r="G16" i="29"/>
  <c r="G20" i="29"/>
  <c r="G17" i="29"/>
  <c r="G26" i="29" s="1"/>
  <c r="G18" i="29"/>
  <c r="G21" i="29"/>
  <c r="G59" i="29" l="1"/>
  <c r="G61" i="29"/>
  <c r="N107" i="35"/>
  <c r="A18" i="32"/>
  <c r="A136" i="32" s="1"/>
  <c r="I111" i="35"/>
  <c r="I133" i="35"/>
  <c r="S22" i="34"/>
  <c r="S26" i="34" s="1"/>
  <c r="S28" i="34" s="1"/>
  <c r="S29" i="34" s="1"/>
  <c r="S30" i="34" s="1"/>
  <c r="U26" i="34"/>
  <c r="U28" i="34" s="1"/>
  <c r="U29" i="34" s="1"/>
  <c r="L132" i="35"/>
  <c r="M132" i="35" s="1"/>
  <c r="A84" i="32"/>
  <c r="A277" i="32"/>
  <c r="L77" i="35"/>
  <c r="M77" i="35" s="1"/>
  <c r="A45" i="32"/>
  <c r="AA23" i="34"/>
  <c r="H28" i="34"/>
  <c r="AB23" i="34"/>
  <c r="I28" i="34"/>
  <c r="L110" i="35"/>
  <c r="M110" i="35" s="1"/>
  <c r="A149" i="32"/>
  <c r="A76" i="32"/>
  <c r="L50" i="29"/>
  <c r="H49" i="29" s="1"/>
  <c r="O107" i="35" s="1"/>
  <c r="L47" i="29"/>
  <c r="H46" i="29" s="1"/>
  <c r="O121" i="35" s="1"/>
  <c r="P121" i="35" s="1"/>
  <c r="M47" i="29"/>
  <c r="N124" i="35"/>
  <c r="N105" i="35"/>
  <c r="N108" i="35"/>
  <c r="M50" i="29"/>
  <c r="D25" i="35"/>
  <c r="L25" i="35" s="1"/>
  <c r="M25" i="35" s="1"/>
  <c r="L22" i="35"/>
  <c r="M22" i="35" s="1"/>
  <c r="N45" i="35"/>
  <c r="M45" i="35"/>
  <c r="D21" i="35"/>
  <c r="L18" i="35"/>
  <c r="D49" i="35"/>
  <c r="L47" i="35"/>
  <c r="M47" i="35" s="1"/>
  <c r="D60" i="35"/>
  <c r="L59" i="35"/>
  <c r="M59" i="35" s="1"/>
  <c r="L20" i="35"/>
  <c r="M20" i="35" s="1"/>
  <c r="D23" i="35"/>
  <c r="A224" i="32"/>
  <c r="A168" i="32"/>
  <c r="A100" i="32"/>
  <c r="A8" i="32"/>
  <c r="M17" i="35"/>
  <c r="N17" i="35"/>
  <c r="L46" i="35"/>
  <c r="D48" i="35"/>
  <c r="L48" i="29"/>
  <c r="H47" i="29" s="1"/>
  <c r="N106" i="35"/>
  <c r="M48" i="29"/>
  <c r="L17" i="29"/>
  <c r="H16" i="29" s="1"/>
  <c r="N69" i="35"/>
  <c r="N74" i="35"/>
  <c r="N9" i="35"/>
  <c r="N85" i="35"/>
  <c r="N86" i="35"/>
  <c r="N44" i="35"/>
  <c r="N73" i="35"/>
  <c r="N136" i="35"/>
  <c r="N43" i="35"/>
  <c r="N16" i="35"/>
  <c r="N72" i="35"/>
  <c r="N71" i="35"/>
  <c r="N75" i="35"/>
  <c r="L60" i="29"/>
  <c r="H59" i="29" s="1"/>
  <c r="O129" i="35" s="1"/>
  <c r="N130" i="35"/>
  <c r="M60" i="29"/>
  <c r="N131" i="35"/>
  <c r="D67" i="27"/>
  <c r="F38" i="34"/>
  <c r="L20" i="29"/>
  <c r="H19" i="29" s="1"/>
  <c r="N138" i="35"/>
  <c r="N92" i="35"/>
  <c r="N135" i="35"/>
  <c r="N139" i="35"/>
  <c r="L51" i="29"/>
  <c r="H50" i="29" s="1"/>
  <c r="M51" i="29"/>
  <c r="L38" i="29"/>
  <c r="H37" i="29" s="1"/>
  <c r="N102" i="35"/>
  <c r="N100" i="35"/>
  <c r="N101" i="35"/>
  <c r="L37" i="29"/>
  <c r="H36" i="29" s="1"/>
  <c r="N99" i="35"/>
  <c r="N98" i="35"/>
  <c r="C52" i="33"/>
  <c r="L61" i="29"/>
  <c r="H60" i="29" s="1"/>
  <c r="M61" i="29"/>
  <c r="J62" i="29"/>
  <c r="G62" i="29" s="1"/>
  <c r="K62" i="29"/>
  <c r="N90" i="35"/>
  <c r="L19" i="29"/>
  <c r="H18" i="29" s="1"/>
  <c r="N91" i="35"/>
  <c r="L58" i="29"/>
  <c r="H57" i="29" s="1"/>
  <c r="M58" i="29"/>
  <c r="N128" i="35"/>
  <c r="L39" i="29"/>
  <c r="H38" i="29" s="1"/>
  <c r="N103" i="35"/>
  <c r="L36" i="29"/>
  <c r="H35" i="29" s="1"/>
  <c r="N79" i="35"/>
  <c r="N78" i="35"/>
  <c r="C166" i="27"/>
  <c r="N82" i="35"/>
  <c r="N81" i="35"/>
  <c r="N80" i="35"/>
  <c r="N33" i="35"/>
  <c r="N97" i="35"/>
  <c r="N76" i="35"/>
  <c r="N96" i="35"/>
  <c r="L21" i="29"/>
  <c r="H20" i="29" s="1"/>
  <c r="L22" i="29"/>
  <c r="H21" i="29" s="1"/>
  <c r="N19" i="35"/>
  <c r="N12" i="35"/>
  <c r="L16" i="29"/>
  <c r="H15" i="29" s="1"/>
  <c r="N40" i="35"/>
  <c r="N42" i="35"/>
  <c r="C116" i="27"/>
  <c r="N13" i="35"/>
  <c r="N41" i="35"/>
  <c r="N84" i="35"/>
  <c r="N14" i="35"/>
  <c r="N22" i="35"/>
  <c r="N15" i="35"/>
  <c r="N70" i="35"/>
  <c r="L59" i="29"/>
  <c r="H58" i="29" s="1"/>
  <c r="O128" i="35" s="1"/>
  <c r="N129" i="35"/>
  <c r="M59" i="29"/>
  <c r="J41" i="29"/>
  <c r="G41" i="29" s="1"/>
  <c r="L41" i="29" s="1"/>
  <c r="H40" i="29" s="1"/>
  <c r="K41" i="29"/>
  <c r="L35" i="29"/>
  <c r="H34" i="29" s="1"/>
  <c r="N37" i="35"/>
  <c r="N58" i="35"/>
  <c r="N77" i="35"/>
  <c r="N35" i="35"/>
  <c r="N36" i="35"/>
  <c r="N57" i="35"/>
  <c r="N95" i="35"/>
  <c r="N31" i="35"/>
  <c r="N32" i="35"/>
  <c r="N30" i="35"/>
  <c r="N38" i="35"/>
  <c r="N29" i="35"/>
  <c r="N116" i="35"/>
  <c r="N127" i="35"/>
  <c r="M57" i="29"/>
  <c r="L57" i="29"/>
  <c r="H56" i="29" s="1"/>
  <c r="L52" i="29"/>
  <c r="H51" i="29" s="1"/>
  <c r="M52" i="29"/>
  <c r="L49" i="29"/>
  <c r="H48" i="29" s="1"/>
  <c r="O106" i="35" s="1"/>
  <c r="N89" i="35"/>
  <c r="N10" i="35"/>
  <c r="L18" i="29"/>
  <c r="H17" i="29" s="1"/>
  <c r="H26" i="29" s="1"/>
  <c r="N87" i="35"/>
  <c r="N88" i="35"/>
  <c r="D52" i="33"/>
  <c r="N137" i="35"/>
  <c r="C67" i="27"/>
  <c r="C38" i="34"/>
  <c r="L40" i="29"/>
  <c r="H39" i="29" s="1"/>
  <c r="O103" i="35" s="1"/>
  <c r="D68" i="27"/>
  <c r="P107" i="35" l="1"/>
  <c r="N20" i="35"/>
  <c r="O120" i="35"/>
  <c r="P120" i="35" s="1"/>
  <c r="O122" i="35"/>
  <c r="P122" i="35" s="1"/>
  <c r="O104" i="35"/>
  <c r="P104" i="35" s="1"/>
  <c r="O123" i="35"/>
  <c r="P123" i="35" s="1"/>
  <c r="N59" i="35"/>
  <c r="N132" i="35"/>
  <c r="N110" i="35"/>
  <c r="N25" i="35"/>
  <c r="I29" i="34"/>
  <c r="AB25" i="34"/>
  <c r="L133" i="35"/>
  <c r="O133" i="35" s="1"/>
  <c r="A85" i="32"/>
  <c r="A150" i="32"/>
  <c r="L111" i="35"/>
  <c r="O111" i="35" s="1"/>
  <c r="I117" i="35"/>
  <c r="I125" i="35"/>
  <c r="A77" i="32"/>
  <c r="H29" i="34"/>
  <c r="AA25" i="34"/>
  <c r="V29" i="34"/>
  <c r="U30" i="34"/>
  <c r="W29" i="34"/>
  <c r="L48" i="35"/>
  <c r="O48" i="35" s="1"/>
  <c r="D50" i="35"/>
  <c r="A9" i="32"/>
  <c r="A225" i="32"/>
  <c r="A169" i="32"/>
  <c r="A101" i="32"/>
  <c r="D26" i="35"/>
  <c r="L26" i="35" s="1"/>
  <c r="O26" i="35" s="1"/>
  <c r="L23" i="35"/>
  <c r="O23" i="35" s="1"/>
  <c r="N47" i="35"/>
  <c r="N46" i="35"/>
  <c r="M46" i="35"/>
  <c r="L49" i="35"/>
  <c r="D51" i="35"/>
  <c r="N18" i="35"/>
  <c r="M18" i="35"/>
  <c r="D61" i="35"/>
  <c r="L60" i="35"/>
  <c r="O60" i="35" s="1"/>
  <c r="D24" i="35"/>
  <c r="L24" i="35" s="1"/>
  <c r="O24" i="35" s="1"/>
  <c r="L21" i="35"/>
  <c r="O21" i="35" s="1"/>
  <c r="P103" i="35"/>
  <c r="O74" i="35"/>
  <c r="P74" i="35" s="1"/>
  <c r="O25" i="35"/>
  <c r="O47" i="35"/>
  <c r="C117" i="27"/>
  <c r="C118" i="27" s="1"/>
  <c r="O22" i="35"/>
  <c r="P22" i="35" s="1"/>
  <c r="O14" i="35"/>
  <c r="P14" i="35" s="1"/>
  <c r="O15" i="35"/>
  <c r="P15" i="35" s="1"/>
  <c r="O19" i="35"/>
  <c r="P19" i="35" s="1"/>
  <c r="O20" i="35"/>
  <c r="P20" i="35" s="1"/>
  <c r="O12" i="35"/>
  <c r="P12" i="35" s="1"/>
  <c r="O40" i="35"/>
  <c r="P40" i="35" s="1"/>
  <c r="O42" i="35"/>
  <c r="P42" i="35" s="1"/>
  <c r="O13" i="35"/>
  <c r="P13" i="35" s="1"/>
  <c r="O41" i="35"/>
  <c r="P41" i="35" s="1"/>
  <c r="O84" i="35"/>
  <c r="P84" i="35" s="1"/>
  <c r="O56" i="35"/>
  <c r="P56" i="35" s="1"/>
  <c r="O94" i="35"/>
  <c r="P94" i="35" s="1"/>
  <c r="O28" i="35"/>
  <c r="P28" i="35" s="1"/>
  <c r="O34" i="35"/>
  <c r="P34" i="35" s="1"/>
  <c r="O70" i="35"/>
  <c r="P70" i="35" s="1"/>
  <c r="O39" i="35"/>
  <c r="P39" i="35" s="1"/>
  <c r="O8" i="35"/>
  <c r="P8" i="35" s="1"/>
  <c r="O18" i="35"/>
  <c r="O17" i="35"/>
  <c r="P17" i="35" s="1"/>
  <c r="O45" i="35"/>
  <c r="P45" i="35" s="1"/>
  <c r="O11" i="35"/>
  <c r="P11" i="35" s="1"/>
  <c r="O46" i="35"/>
  <c r="O83" i="35"/>
  <c r="P83" i="35" s="1"/>
  <c r="O100" i="35"/>
  <c r="P100" i="35" s="1"/>
  <c r="O102" i="35"/>
  <c r="P102" i="35" s="1"/>
  <c r="O101" i="35"/>
  <c r="P101" i="35" s="1"/>
  <c r="O127" i="35"/>
  <c r="P127" i="35" s="1"/>
  <c r="O116" i="35"/>
  <c r="P116" i="35" s="1"/>
  <c r="O132" i="35"/>
  <c r="O131" i="35"/>
  <c r="P131" i="35" s="1"/>
  <c r="O130" i="35"/>
  <c r="P130" i="35" s="1"/>
  <c r="C167" i="27"/>
  <c r="C168" i="27" s="1"/>
  <c r="O76" i="35"/>
  <c r="P76" i="35" s="1"/>
  <c r="O80" i="35"/>
  <c r="P80" i="35" s="1"/>
  <c r="O96" i="35"/>
  <c r="P96" i="35" s="1"/>
  <c r="O79" i="35"/>
  <c r="P79" i="35" s="1"/>
  <c r="O78" i="35"/>
  <c r="P78" i="35" s="1"/>
  <c r="O82" i="35"/>
  <c r="P82" i="35" s="1"/>
  <c r="O97" i="35"/>
  <c r="P97" i="35" s="1"/>
  <c r="O33" i="35"/>
  <c r="P33" i="35" s="1"/>
  <c r="O81" i="35"/>
  <c r="P81" i="35" s="1"/>
  <c r="O99" i="35"/>
  <c r="P99" i="35" s="1"/>
  <c r="C53" i="33"/>
  <c r="C54" i="33" s="1"/>
  <c r="O98" i="35"/>
  <c r="P98" i="35" s="1"/>
  <c r="O75" i="35"/>
  <c r="P75" i="35" s="1"/>
  <c r="O114" i="35"/>
  <c r="P114" i="35" s="1"/>
  <c r="O112" i="35"/>
  <c r="P112" i="35" s="1"/>
  <c r="O115" i="35"/>
  <c r="P115" i="35" s="1"/>
  <c r="O126" i="35"/>
  <c r="P126" i="35" s="1"/>
  <c r="O113" i="35"/>
  <c r="P113" i="35" s="1"/>
  <c r="O9" i="35"/>
  <c r="P9" i="35" s="1"/>
  <c r="O69" i="35"/>
  <c r="P69" i="35" s="1"/>
  <c r="O43" i="35"/>
  <c r="P43" i="35" s="1"/>
  <c r="O85" i="35"/>
  <c r="P85" i="35" s="1"/>
  <c r="O86" i="35"/>
  <c r="P86" i="35" s="1"/>
  <c r="O44" i="35"/>
  <c r="P44" i="35" s="1"/>
  <c r="O136" i="35"/>
  <c r="P136" i="35" s="1"/>
  <c r="O16" i="35"/>
  <c r="P16" i="35" s="1"/>
  <c r="O38" i="35"/>
  <c r="P38" i="35" s="1"/>
  <c r="O37" i="35"/>
  <c r="P37" i="35" s="1"/>
  <c r="O58" i="35"/>
  <c r="P58" i="35" s="1"/>
  <c r="O77" i="35"/>
  <c r="P77" i="35" s="1"/>
  <c r="O35" i="35"/>
  <c r="P35" i="35" s="1"/>
  <c r="O36" i="35"/>
  <c r="P36" i="35" s="1"/>
  <c r="O57" i="35"/>
  <c r="P57" i="35" s="1"/>
  <c r="O59" i="35"/>
  <c r="P59" i="35" s="1"/>
  <c r="O95" i="35"/>
  <c r="P95" i="35" s="1"/>
  <c r="O31" i="35"/>
  <c r="P31" i="35" s="1"/>
  <c r="O32" i="35"/>
  <c r="P32" i="35" s="1"/>
  <c r="O29" i="35"/>
  <c r="P29" i="35" s="1"/>
  <c r="O30" i="35"/>
  <c r="P30" i="35" s="1"/>
  <c r="O108" i="35"/>
  <c r="P108" i="35" s="1"/>
  <c r="O110" i="35"/>
  <c r="O109" i="35"/>
  <c r="P109" i="35" s="1"/>
  <c r="O71" i="35"/>
  <c r="P71" i="35" s="1"/>
  <c r="P106" i="35"/>
  <c r="O138" i="35"/>
  <c r="P138" i="35" s="1"/>
  <c r="O135" i="35"/>
  <c r="P135" i="35" s="1"/>
  <c r="O92" i="35"/>
  <c r="P92" i="35" s="1"/>
  <c r="O139" i="35"/>
  <c r="P139" i="35" s="1"/>
  <c r="P129" i="35"/>
  <c r="P128" i="35"/>
  <c r="O89" i="35"/>
  <c r="P89" i="35" s="1"/>
  <c r="O10" i="35"/>
  <c r="P10" i="35" s="1"/>
  <c r="O87" i="35"/>
  <c r="P87" i="35" s="1"/>
  <c r="O88" i="35"/>
  <c r="P88" i="35" s="1"/>
  <c r="O137" i="35"/>
  <c r="P137" i="35" s="1"/>
  <c r="D53" i="33"/>
  <c r="D54" i="33" s="1"/>
  <c r="M62" i="29"/>
  <c r="L62" i="29"/>
  <c r="H61" i="29" s="1"/>
  <c r="O91" i="35"/>
  <c r="P91" i="35" s="1"/>
  <c r="O90" i="35"/>
  <c r="P90" i="35" s="1"/>
  <c r="O72" i="35"/>
  <c r="P72" i="35" s="1"/>
  <c r="O73" i="35"/>
  <c r="P73" i="35" s="1"/>
  <c r="O105" i="35"/>
  <c r="P105" i="35" s="1"/>
  <c r="O124" i="35"/>
  <c r="P124" i="35" s="1"/>
  <c r="P132" i="35" l="1"/>
  <c r="P110" i="35"/>
  <c r="P25" i="35"/>
  <c r="P47" i="35"/>
  <c r="L117" i="35"/>
  <c r="A156" i="32"/>
  <c r="A142" i="32"/>
  <c r="M133" i="35"/>
  <c r="N133" i="35"/>
  <c r="A162" i="32"/>
  <c r="L125" i="35"/>
  <c r="H30" i="34"/>
  <c r="AA26" i="34"/>
  <c r="M111" i="35"/>
  <c r="N111" i="35"/>
  <c r="AB26" i="34"/>
  <c r="I30" i="34"/>
  <c r="P46" i="35"/>
  <c r="P18" i="35"/>
  <c r="M49" i="35"/>
  <c r="N49" i="35"/>
  <c r="M23" i="35"/>
  <c r="N23" i="35"/>
  <c r="O49" i="35"/>
  <c r="M21" i="35"/>
  <c r="N21" i="35"/>
  <c r="M26" i="35"/>
  <c r="N26" i="35"/>
  <c r="A226" i="32"/>
  <c r="A170" i="32"/>
  <c r="A102" i="32"/>
  <c r="A10" i="32"/>
  <c r="D62" i="35"/>
  <c r="L61" i="35"/>
  <c r="M24" i="35"/>
  <c r="N24" i="35"/>
  <c r="D52" i="35"/>
  <c r="L50" i="35"/>
  <c r="M60" i="35"/>
  <c r="N60" i="35"/>
  <c r="L51" i="35"/>
  <c r="D53" i="35"/>
  <c r="L53" i="35" s="1"/>
  <c r="M48" i="35"/>
  <c r="N48" i="35"/>
  <c r="P111" i="35" l="1"/>
  <c r="D66" i="27"/>
  <c r="AB27" i="34"/>
  <c r="P23" i="35"/>
  <c r="C66" i="27"/>
  <c r="AA27" i="34"/>
  <c r="M125" i="35"/>
  <c r="N125" i="35"/>
  <c r="O125" i="35"/>
  <c r="P133" i="35"/>
  <c r="M117" i="35"/>
  <c r="N117" i="35"/>
  <c r="O117" i="35"/>
  <c r="P21" i="35"/>
  <c r="P49" i="35"/>
  <c r="M50" i="35"/>
  <c r="N50" i="35"/>
  <c r="O50" i="35"/>
  <c r="M51" i="35"/>
  <c r="N51" i="35"/>
  <c r="O51" i="35"/>
  <c r="D54" i="35"/>
  <c r="L52" i="35"/>
  <c r="D63" i="35"/>
  <c r="L62" i="35"/>
  <c r="M61" i="35"/>
  <c r="N61" i="35"/>
  <c r="O61" i="35"/>
  <c r="P48" i="35"/>
  <c r="P60" i="35"/>
  <c r="P24" i="35"/>
  <c r="M53" i="35"/>
  <c r="N53" i="35"/>
  <c r="O53" i="35"/>
  <c r="A227" i="32"/>
  <c r="A11" i="32"/>
  <c r="A171" i="32"/>
  <c r="A103" i="32"/>
  <c r="P26" i="35"/>
  <c r="P125" i="35" l="1"/>
  <c r="P117" i="35"/>
  <c r="C70" i="27"/>
  <c r="C69" i="27"/>
  <c r="D69" i="27"/>
  <c r="D70" i="27"/>
  <c r="P53" i="35"/>
  <c r="D55" i="35"/>
  <c r="L55" i="35" s="1"/>
  <c r="L54" i="35"/>
  <c r="M52" i="35"/>
  <c r="N52" i="35"/>
  <c r="O52" i="35"/>
  <c r="N62" i="35"/>
  <c r="M62" i="35"/>
  <c r="O62" i="35"/>
  <c r="P51" i="35"/>
  <c r="P50" i="35"/>
  <c r="A228" i="32"/>
  <c r="A172" i="32"/>
  <c r="A104" i="32"/>
  <c r="A12" i="32"/>
  <c r="P61" i="35"/>
  <c r="L63" i="35"/>
  <c r="D64" i="35"/>
  <c r="C76" i="27" l="1"/>
  <c r="C73" i="27"/>
  <c r="D76" i="27"/>
  <c r="C7" i="35" s="1"/>
  <c r="D73" i="27"/>
  <c r="B7" i="35" s="1"/>
  <c r="C77" i="27"/>
  <c r="C74" i="27"/>
  <c r="D74" i="27"/>
  <c r="D77" i="27"/>
  <c r="P62" i="35"/>
  <c r="A13" i="32"/>
  <c r="A229" i="32"/>
  <c r="A173" i="32"/>
  <c r="A105" i="32"/>
  <c r="D65" i="35"/>
  <c r="L64" i="35"/>
  <c r="M54" i="35"/>
  <c r="N54" i="35"/>
  <c r="O54" i="35"/>
  <c r="M63" i="35"/>
  <c r="N63" i="35"/>
  <c r="O63" i="35"/>
  <c r="P52" i="35"/>
  <c r="M55" i="35"/>
  <c r="N55" i="35"/>
  <c r="O55" i="35"/>
  <c r="B6" i="35" l="1"/>
  <c r="O18" i="34"/>
  <c r="C6" i="35"/>
  <c r="D154" i="33"/>
  <c r="D155" i="33" s="1"/>
  <c r="B128" i="35"/>
  <c r="B127" i="35"/>
  <c r="B113" i="35"/>
  <c r="B112" i="35"/>
  <c r="J7" i="35"/>
  <c r="B126" i="35"/>
  <c r="B114" i="35"/>
  <c r="B115" i="35"/>
  <c r="B116" i="35"/>
  <c r="B129" i="35"/>
  <c r="B119" i="35"/>
  <c r="B118" i="35"/>
  <c r="B117" i="35"/>
  <c r="B105" i="35"/>
  <c r="B120" i="35"/>
  <c r="B109" i="35"/>
  <c r="B110" i="35"/>
  <c r="B104" i="35"/>
  <c r="B111" i="35"/>
  <c r="B108" i="35"/>
  <c r="B107" i="35"/>
  <c r="B122" i="35"/>
  <c r="B123" i="35"/>
  <c r="J6" i="35"/>
  <c r="B125" i="35"/>
  <c r="B121" i="35"/>
  <c r="B106" i="35"/>
  <c r="B124" i="35"/>
  <c r="C128" i="35"/>
  <c r="C126" i="35"/>
  <c r="C130" i="35" s="1"/>
  <c r="C131" i="35" s="1"/>
  <c r="C132" i="35" s="1"/>
  <c r="C133" i="35" s="1"/>
  <c r="C129" i="35"/>
  <c r="K113" i="35"/>
  <c r="J113" i="35" s="1"/>
  <c r="E152" i="32" s="1"/>
  <c r="C127" i="35"/>
  <c r="B4" i="35"/>
  <c r="C123" i="27"/>
  <c r="N18" i="34"/>
  <c r="N21" i="34" s="1"/>
  <c r="N28" i="34" s="1"/>
  <c r="N29" i="34" s="1"/>
  <c r="N30" i="34" s="1"/>
  <c r="C101" i="27" s="1"/>
  <c r="K20" i="34"/>
  <c r="K21" i="34" s="1"/>
  <c r="K28" i="34" s="1"/>
  <c r="K29" i="34" s="1"/>
  <c r="K30" i="34" s="1"/>
  <c r="K4" i="35"/>
  <c r="D137" i="27"/>
  <c r="B5" i="35"/>
  <c r="C137" i="27"/>
  <c r="C154" i="33"/>
  <c r="C4" i="35"/>
  <c r="C169" i="27"/>
  <c r="C170" i="27"/>
  <c r="C5" i="35"/>
  <c r="M64" i="35"/>
  <c r="N64" i="35"/>
  <c r="O64" i="35"/>
  <c r="D66" i="35"/>
  <c r="L65" i="35"/>
  <c r="P55" i="35"/>
  <c r="P63" i="35"/>
  <c r="P54" i="35"/>
  <c r="A230" i="32"/>
  <c r="A174" i="32"/>
  <c r="A106" i="32"/>
  <c r="A14" i="32"/>
  <c r="K119" i="35" l="1"/>
  <c r="K114" i="35"/>
  <c r="J114" i="35" s="1"/>
  <c r="E153" i="32" s="1"/>
  <c r="K112" i="35"/>
  <c r="J112" i="35" s="1"/>
  <c r="E151" i="32" s="1"/>
  <c r="K121" i="35"/>
  <c r="J121" i="35" s="1"/>
  <c r="F158" i="32" s="1"/>
  <c r="K116" i="35"/>
  <c r="J116" i="35" s="1"/>
  <c r="E155" i="32" s="1"/>
  <c r="K117" i="35"/>
  <c r="J117" i="35" s="1"/>
  <c r="E156" i="32" s="1"/>
  <c r="K128" i="35"/>
  <c r="J128" i="35" s="1"/>
  <c r="C139" i="32" s="1"/>
  <c r="K115" i="35"/>
  <c r="J115" i="35" s="1"/>
  <c r="E154" i="32" s="1"/>
  <c r="K118" i="35"/>
  <c r="B66" i="35"/>
  <c r="B30" i="35"/>
  <c r="B37" i="35" s="1"/>
  <c r="B29" i="35"/>
  <c r="B36" i="35" s="1"/>
  <c r="B97" i="35"/>
  <c r="B94" i="35"/>
  <c r="B33" i="35"/>
  <c r="B64" i="35"/>
  <c r="B101" i="35"/>
  <c r="J5" i="35"/>
  <c r="B76" i="35"/>
  <c r="B99" i="35"/>
  <c r="B62" i="35"/>
  <c r="B63" i="35"/>
  <c r="B96" i="35"/>
  <c r="B67" i="35"/>
  <c r="B100" i="35"/>
  <c r="B32" i="35"/>
  <c r="B102" i="35"/>
  <c r="B56" i="35"/>
  <c r="B103" i="35"/>
  <c r="B65" i="35"/>
  <c r="B95" i="35"/>
  <c r="B31" i="35"/>
  <c r="B38" i="35" s="1"/>
  <c r="B28" i="35"/>
  <c r="B98" i="35"/>
  <c r="C119" i="27"/>
  <c r="C120" i="27" s="1"/>
  <c r="C124" i="27" s="1"/>
  <c r="C125" i="27" s="1"/>
  <c r="C11" i="35"/>
  <c r="C12" i="35" s="1"/>
  <c r="C13" i="35" s="1"/>
  <c r="K127" i="35"/>
  <c r="J127" i="35" s="1"/>
  <c r="K125" i="35"/>
  <c r="J125" i="35" s="1"/>
  <c r="F162" i="32" s="1"/>
  <c r="K122" i="35"/>
  <c r="J122" i="35" s="1"/>
  <c r="F159" i="32" s="1"/>
  <c r="B130" i="35"/>
  <c r="K126" i="35"/>
  <c r="J126" i="35" s="1"/>
  <c r="C90" i="35"/>
  <c r="C91" i="35"/>
  <c r="C69" i="35"/>
  <c r="C84" i="35"/>
  <c r="C87" i="35"/>
  <c r="C92" i="35"/>
  <c r="C85" i="35"/>
  <c r="C88" i="35"/>
  <c r="C86" i="35"/>
  <c r="C83" i="35"/>
  <c r="C89" i="35"/>
  <c r="K129" i="35"/>
  <c r="J129" i="35" s="1"/>
  <c r="K124" i="35"/>
  <c r="J124" i="35" s="1"/>
  <c r="F161" i="32" s="1"/>
  <c r="C139" i="27"/>
  <c r="C39" i="27"/>
  <c r="C102" i="35"/>
  <c r="C101" i="35"/>
  <c r="C94" i="35"/>
  <c r="C96" i="35"/>
  <c r="C95" i="35"/>
  <c r="C103" i="35"/>
  <c r="C97" i="35"/>
  <c r="C76" i="35"/>
  <c r="C98" i="35"/>
  <c r="C100" i="35"/>
  <c r="C99" i="35"/>
  <c r="C158" i="33"/>
  <c r="C155" i="33"/>
  <c r="B83" i="35"/>
  <c r="B87" i="35"/>
  <c r="B92" i="35"/>
  <c r="B86" i="35"/>
  <c r="J4" i="35"/>
  <c r="B89" i="35"/>
  <c r="B91" i="35"/>
  <c r="B84" i="35"/>
  <c r="K84" i="35" s="1"/>
  <c r="J84" i="35" s="1"/>
  <c r="B90" i="35"/>
  <c r="K90" i="35" s="1"/>
  <c r="J90" i="35" s="1"/>
  <c r="B85" i="35"/>
  <c r="B88" i="35"/>
  <c r="B11" i="35"/>
  <c r="K123" i="35"/>
  <c r="J123" i="35" s="1"/>
  <c r="F160" i="32" s="1"/>
  <c r="K120" i="35"/>
  <c r="J120" i="35" s="1"/>
  <c r="F157" i="32" s="1"/>
  <c r="C104" i="35"/>
  <c r="K104" i="35" s="1"/>
  <c r="J104" i="35" s="1"/>
  <c r="C106" i="35"/>
  <c r="K106" i="35" s="1"/>
  <c r="J106" i="35" s="1"/>
  <c r="C109" i="35"/>
  <c r="K109" i="35" s="1"/>
  <c r="J109" i="35" s="1"/>
  <c r="C111" i="35"/>
  <c r="K111" i="35" s="1"/>
  <c r="J111" i="35" s="1"/>
  <c r="C105" i="35"/>
  <c r="K105" i="35" s="1"/>
  <c r="J105" i="35" s="1"/>
  <c r="C108" i="35"/>
  <c r="K108" i="35" s="1"/>
  <c r="J108" i="35" s="1"/>
  <c r="C110" i="35"/>
  <c r="K110" i="35" s="1"/>
  <c r="J110" i="35" s="1"/>
  <c r="C107" i="35"/>
  <c r="K107" i="35" s="1"/>
  <c r="J107" i="35" s="1"/>
  <c r="P64" i="35"/>
  <c r="A231" i="32"/>
  <c r="A107" i="32"/>
  <c r="A175" i="32"/>
  <c r="D67" i="35"/>
  <c r="L67" i="35" s="1"/>
  <c r="L66" i="35"/>
  <c r="M65" i="35"/>
  <c r="N65" i="35"/>
  <c r="O65" i="35"/>
  <c r="M80" i="32" l="1"/>
  <c r="K87" i="35"/>
  <c r="J87" i="35" s="1"/>
  <c r="D244" i="32" s="1"/>
  <c r="K86" i="35"/>
  <c r="J86" i="35" s="1"/>
  <c r="D243" i="32" s="1"/>
  <c r="K103" i="35"/>
  <c r="J103" i="35" s="1"/>
  <c r="K69" i="32" s="1"/>
  <c r="K100" i="35"/>
  <c r="J100" i="35" s="1"/>
  <c r="C182" i="32" s="1"/>
  <c r="K83" i="35"/>
  <c r="J83" i="35" s="1"/>
  <c r="J51" i="32" s="1"/>
  <c r="K101" i="35"/>
  <c r="J101" i="35" s="1"/>
  <c r="C239" i="32" s="1"/>
  <c r="K97" i="35"/>
  <c r="J97" i="35" s="1"/>
  <c r="K64" i="32" s="1"/>
  <c r="K88" i="35"/>
  <c r="J88" i="35" s="1"/>
  <c r="D245" i="32" s="1"/>
  <c r="K91" i="35"/>
  <c r="J91" i="35" s="1"/>
  <c r="D248" i="32" s="1"/>
  <c r="K92" i="35"/>
  <c r="J92" i="35" s="1"/>
  <c r="J60" i="32" s="1"/>
  <c r="D149" i="32"/>
  <c r="L76" i="32"/>
  <c r="F110" i="35"/>
  <c r="M79" i="32"/>
  <c r="C138" i="32"/>
  <c r="B35" i="35"/>
  <c r="B34" i="35"/>
  <c r="D147" i="32"/>
  <c r="F108" i="35"/>
  <c r="L74" i="32"/>
  <c r="D145" i="32"/>
  <c r="L72" i="32"/>
  <c r="K85" i="35"/>
  <c r="J85" i="35" s="1"/>
  <c r="K89" i="35"/>
  <c r="J89" i="35" s="1"/>
  <c r="C18" i="33" s="1"/>
  <c r="F87" i="35"/>
  <c r="J55" i="32"/>
  <c r="D139" i="27"/>
  <c r="D142" i="27" s="1"/>
  <c r="C142" i="27"/>
  <c r="C16" i="35"/>
  <c r="C14" i="35"/>
  <c r="B57" i="35"/>
  <c r="B58" i="35"/>
  <c r="B59" i="35" s="1"/>
  <c r="B60" i="35" s="1"/>
  <c r="B61" i="35" s="1"/>
  <c r="K99" i="35"/>
  <c r="J99" i="35" s="1"/>
  <c r="L75" i="32"/>
  <c r="F109" i="35"/>
  <c r="D148" i="32"/>
  <c r="C44" i="27"/>
  <c r="B131" i="35"/>
  <c r="K130" i="35"/>
  <c r="J130" i="35" s="1"/>
  <c r="D144" i="32"/>
  <c r="L71" i="32"/>
  <c r="L70" i="32"/>
  <c r="D143" i="32"/>
  <c r="D191" i="32"/>
  <c r="J58" i="32"/>
  <c r="D247" i="32"/>
  <c r="C171" i="27"/>
  <c r="C172" i="27" s="1"/>
  <c r="C193" i="27" s="1"/>
  <c r="C196" i="27" s="1"/>
  <c r="C197" i="27" s="1"/>
  <c r="C127" i="27"/>
  <c r="C130" i="27" s="1"/>
  <c r="C131" i="27"/>
  <c r="K95" i="35"/>
  <c r="J95" i="35" s="1"/>
  <c r="K102" i="35"/>
  <c r="J102" i="35" s="1"/>
  <c r="K68" i="32" s="1"/>
  <c r="K96" i="35"/>
  <c r="J96" i="35" s="1"/>
  <c r="K76" i="35"/>
  <c r="D192" i="32"/>
  <c r="D146" i="32"/>
  <c r="L73" i="32"/>
  <c r="L77" i="32"/>
  <c r="D150" i="32"/>
  <c r="F111" i="35"/>
  <c r="B12" i="35"/>
  <c r="K11" i="35"/>
  <c r="J11" i="35" s="1"/>
  <c r="D185" i="32"/>
  <c r="D241" i="32"/>
  <c r="J52" i="32"/>
  <c r="C140" i="32"/>
  <c r="M81" i="32"/>
  <c r="C137" i="32"/>
  <c r="M78" i="32"/>
  <c r="K98" i="35"/>
  <c r="J98" i="35" s="1"/>
  <c r="K94" i="35"/>
  <c r="J94" i="35" s="1"/>
  <c r="P65" i="35"/>
  <c r="M67" i="35"/>
  <c r="N67" i="35"/>
  <c r="O67" i="35"/>
  <c r="M66" i="35"/>
  <c r="N66" i="35"/>
  <c r="O66" i="35"/>
  <c r="J59" i="32" l="1"/>
  <c r="D240" i="32"/>
  <c r="C238" i="32"/>
  <c r="J54" i="32"/>
  <c r="D184" i="32"/>
  <c r="D188" i="32"/>
  <c r="D187" i="32"/>
  <c r="C183" i="32"/>
  <c r="C235" i="32"/>
  <c r="F86" i="35"/>
  <c r="C179" i="32"/>
  <c r="K67" i="32"/>
  <c r="D189" i="32"/>
  <c r="F88" i="35"/>
  <c r="J56" i="32"/>
  <c r="C20" i="33"/>
  <c r="C24" i="33"/>
  <c r="C25" i="33" s="1"/>
  <c r="C181" i="32"/>
  <c r="C237" i="32"/>
  <c r="K66" i="32"/>
  <c r="D242" i="32"/>
  <c r="J53" i="32"/>
  <c r="D186" i="32"/>
  <c r="B78" i="35"/>
  <c r="B77" i="35"/>
  <c r="J76" i="35"/>
  <c r="C141" i="32"/>
  <c r="M82" i="32"/>
  <c r="F130" i="35"/>
  <c r="C143" i="27"/>
  <c r="C144" i="27" s="1"/>
  <c r="C147" i="27"/>
  <c r="C55" i="33" s="1"/>
  <c r="C56" i="33" s="1"/>
  <c r="B13" i="35"/>
  <c r="K12" i="35"/>
  <c r="J12" i="35" s="1"/>
  <c r="K62" i="32"/>
  <c r="C233" i="32"/>
  <c r="C177" i="32"/>
  <c r="C19" i="35"/>
  <c r="C22" i="35" s="1"/>
  <c r="C25" i="35" s="1"/>
  <c r="C39" i="35"/>
  <c r="C41" i="35" s="1"/>
  <c r="C42" i="35" s="1"/>
  <c r="C43" i="35" s="1"/>
  <c r="C28" i="35"/>
  <c r="C176" i="32"/>
  <c r="K61" i="32"/>
  <c r="C232" i="32"/>
  <c r="K63" i="32"/>
  <c r="C178" i="32"/>
  <c r="C234" i="32"/>
  <c r="H164" i="32"/>
  <c r="F96" i="32" s="1"/>
  <c r="E18" i="35"/>
  <c r="E24" i="35"/>
  <c r="E23" i="35"/>
  <c r="E17" i="35"/>
  <c r="E22" i="35"/>
  <c r="E26" i="35"/>
  <c r="E19" i="35"/>
  <c r="E20" i="35"/>
  <c r="E21" i="35"/>
  <c r="E25" i="35"/>
  <c r="K131" i="35"/>
  <c r="J131" i="35" s="1"/>
  <c r="B132" i="35"/>
  <c r="D147" i="27"/>
  <c r="D143" i="27"/>
  <c r="C180" i="32"/>
  <c r="K65" i="32"/>
  <c r="C236" i="32"/>
  <c r="D19" i="32"/>
  <c r="D113" i="32"/>
  <c r="F198" i="32"/>
  <c r="C74" i="35"/>
  <c r="C81" i="35" s="1"/>
  <c r="C70" i="35"/>
  <c r="C77" i="35" s="1"/>
  <c r="C73" i="35"/>
  <c r="C80" i="35" s="1"/>
  <c r="C72" i="35"/>
  <c r="C79" i="35" s="1"/>
  <c r="C71" i="35"/>
  <c r="C78" i="35" s="1"/>
  <c r="C75" i="35"/>
  <c r="C82" i="35" s="1"/>
  <c r="C17" i="35"/>
  <c r="C20" i="35" s="1"/>
  <c r="C23" i="35" s="1"/>
  <c r="C26" i="35" s="1"/>
  <c r="C15" i="35"/>
  <c r="C18" i="35" s="1"/>
  <c r="C21" i="35" s="1"/>
  <c r="C24" i="35" s="1"/>
  <c r="J57" i="32"/>
  <c r="D190" i="32"/>
  <c r="D246" i="32"/>
  <c r="P67" i="35"/>
  <c r="P66" i="35"/>
  <c r="C135" i="35" l="1"/>
  <c r="C8" i="35"/>
  <c r="C9" i="35" s="1"/>
  <c r="C10" i="35" s="1"/>
  <c r="D55" i="33"/>
  <c r="D56" i="33" s="1"/>
  <c r="C40" i="35"/>
  <c r="C29" i="35"/>
  <c r="K28" i="35"/>
  <c r="J28" i="35" s="1"/>
  <c r="K54" i="33"/>
  <c r="C60" i="33"/>
  <c r="C61" i="33" s="1"/>
  <c r="B133" i="35"/>
  <c r="K133" i="35" s="1"/>
  <c r="J133" i="35" s="1"/>
  <c r="K132" i="35"/>
  <c r="J132" i="35" s="1"/>
  <c r="C56" i="35"/>
  <c r="C44" i="35"/>
  <c r="C45" i="35" s="1"/>
  <c r="C57" i="35"/>
  <c r="K57" i="35" s="1"/>
  <c r="J57" i="35" s="1"/>
  <c r="M83" i="32"/>
  <c r="F131" i="35"/>
  <c r="C142" i="32"/>
  <c r="D20" i="32"/>
  <c r="F199" i="32"/>
  <c r="D114" i="32"/>
  <c r="K77" i="35"/>
  <c r="J77" i="35" s="1"/>
  <c r="B135" i="35"/>
  <c r="D144" i="27"/>
  <c r="B8" i="35"/>
  <c r="B14" i="35"/>
  <c r="B16" i="35"/>
  <c r="K13" i="35"/>
  <c r="J13" i="35" s="1"/>
  <c r="B79" i="35"/>
  <c r="K78" i="35"/>
  <c r="J78" i="35" s="1"/>
  <c r="C21" i="33"/>
  <c r="C27" i="33"/>
  <c r="C28" i="33" s="1"/>
  <c r="I45" i="32" l="1"/>
  <c r="I277" i="32"/>
  <c r="C46" i="35"/>
  <c r="C48" i="35" s="1"/>
  <c r="C50" i="35" s="1"/>
  <c r="C52" i="35" s="1"/>
  <c r="C54" i="35" s="1"/>
  <c r="C55" i="35" s="1"/>
  <c r="C47" i="35"/>
  <c r="C49" i="35" s="1"/>
  <c r="C51" i="35" s="1"/>
  <c r="C53" i="35" s="1"/>
  <c r="B80" i="35"/>
  <c r="K79" i="35"/>
  <c r="J79" i="35" s="1"/>
  <c r="K8" i="35"/>
  <c r="J8" i="35" s="1"/>
  <c r="D79" i="33" s="1"/>
  <c r="C85" i="33" s="1"/>
  <c r="C112" i="33" s="1"/>
  <c r="B9" i="35"/>
  <c r="C58" i="35"/>
  <c r="K56" i="35"/>
  <c r="J56" i="35" s="1"/>
  <c r="L56" i="33"/>
  <c r="D60" i="33"/>
  <c r="D61" i="33" s="1"/>
  <c r="I278" i="32"/>
  <c r="I46" i="32"/>
  <c r="C62" i="33"/>
  <c r="N92" i="32"/>
  <c r="D21" i="32"/>
  <c r="F200" i="32"/>
  <c r="F13" i="35"/>
  <c r="D115" i="32"/>
  <c r="F132" i="35"/>
  <c r="M84" i="32"/>
  <c r="C108" i="32"/>
  <c r="E193" i="32"/>
  <c r="E23" i="32"/>
  <c r="B15" i="35"/>
  <c r="K15" i="35" s="1"/>
  <c r="J15" i="35" s="1"/>
  <c r="F202" i="32" s="1"/>
  <c r="K14" i="35"/>
  <c r="J14" i="35" s="1"/>
  <c r="F201" i="32" s="1"/>
  <c r="B39" i="35"/>
  <c r="K16" i="35"/>
  <c r="J16" i="35" s="1"/>
  <c r="B136" i="35"/>
  <c r="K135" i="35"/>
  <c r="J135" i="35" s="1"/>
  <c r="C88" i="33" s="1"/>
  <c r="B137" i="35"/>
  <c r="E250" i="32"/>
  <c r="G34" i="32"/>
  <c r="F133" i="35"/>
  <c r="M85" i="32"/>
  <c r="K29" i="35"/>
  <c r="J29" i="35" s="1"/>
  <c r="C30" i="35"/>
  <c r="C136" i="35"/>
  <c r="C137" i="35"/>
  <c r="D62" i="33" l="1"/>
  <c r="D67" i="33" s="1"/>
  <c r="D68" i="33" s="1"/>
  <c r="D71" i="33" s="1"/>
  <c r="O93" i="32"/>
  <c r="K39" i="35"/>
  <c r="B40" i="35"/>
  <c r="K40" i="35" s="1"/>
  <c r="J40" i="35" s="1"/>
  <c r="C31" i="35"/>
  <c r="K30" i="35"/>
  <c r="J30" i="35" s="1"/>
  <c r="K136" i="35"/>
  <c r="J136" i="35" s="1"/>
  <c r="G33" i="32"/>
  <c r="E249" i="32"/>
  <c r="I47" i="32"/>
  <c r="I279" i="32"/>
  <c r="C138" i="35"/>
  <c r="C139" i="35"/>
  <c r="B139" i="35"/>
  <c r="K137" i="35"/>
  <c r="J137" i="35" s="1"/>
  <c r="D117" i="33" s="1"/>
  <c r="B138" i="35"/>
  <c r="K138" i="35" s="1"/>
  <c r="J138" i="35" s="1"/>
  <c r="D118" i="33" s="1"/>
  <c r="B10" i="35"/>
  <c r="K10" i="35" s="1"/>
  <c r="J10" i="35" s="1"/>
  <c r="D81" i="33" s="1"/>
  <c r="K9" i="35"/>
  <c r="J9" i="35" s="1"/>
  <c r="D80" i="33" s="1"/>
  <c r="E24" i="32"/>
  <c r="C109" i="32"/>
  <c r="E194" i="32"/>
  <c r="D116" i="32"/>
  <c r="D22" i="32"/>
  <c r="K58" i="35"/>
  <c r="J58" i="35" s="1"/>
  <c r="C59" i="35"/>
  <c r="B81" i="35"/>
  <c r="K80" i="35"/>
  <c r="J80" i="35" s="1"/>
  <c r="K139" i="35" l="1"/>
  <c r="J139" i="35" s="1"/>
  <c r="C115" i="33" s="1"/>
  <c r="B41" i="35"/>
  <c r="C191" i="27"/>
  <c r="C194" i="27" s="1"/>
  <c r="J39" i="35"/>
  <c r="I48" i="32"/>
  <c r="I280" i="32"/>
  <c r="B82" i="35"/>
  <c r="K82" i="35" s="1"/>
  <c r="J82" i="35" s="1"/>
  <c r="K81" i="35"/>
  <c r="J81" i="35" s="1"/>
  <c r="C86" i="33"/>
  <c r="C113" i="33" s="1"/>
  <c r="D116" i="33"/>
  <c r="E80" i="33"/>
  <c r="E25" i="32"/>
  <c r="E195" i="32"/>
  <c r="C110" i="32"/>
  <c r="E251" i="32"/>
  <c r="G35" i="32"/>
  <c r="F256" i="32"/>
  <c r="F29" i="32"/>
  <c r="C60" i="35"/>
  <c r="K59" i="35"/>
  <c r="J59" i="35" s="1"/>
  <c r="C87" i="33"/>
  <c r="E81" i="33"/>
  <c r="I51" i="33" s="1"/>
  <c r="K31" i="35"/>
  <c r="J31" i="35" s="1"/>
  <c r="C33" i="35"/>
  <c r="C32" i="35"/>
  <c r="K32" i="35" s="1"/>
  <c r="J32" i="35" s="1"/>
  <c r="E197" i="32" s="1"/>
  <c r="G99" i="33" l="1"/>
  <c r="G100" i="33"/>
  <c r="C114" i="33"/>
  <c r="E252" i="32"/>
  <c r="G36" i="32"/>
  <c r="I281" i="32"/>
  <c r="I49" i="32"/>
  <c r="F255" i="32"/>
  <c r="F28" i="32"/>
  <c r="I282" i="32"/>
  <c r="I50" i="32"/>
  <c r="K33" i="35"/>
  <c r="J33" i="35" s="1"/>
  <c r="C34" i="35"/>
  <c r="E196" i="32"/>
  <c r="C111" i="32"/>
  <c r="E26" i="32"/>
  <c r="K60" i="35"/>
  <c r="J60" i="35" s="1"/>
  <c r="C61" i="35"/>
  <c r="B42" i="35"/>
  <c r="K41" i="35"/>
  <c r="J41" i="35" s="1"/>
  <c r="F257" i="32" l="1"/>
  <c r="F41" i="35"/>
  <c r="F30" i="32"/>
  <c r="K42" i="35"/>
  <c r="J42" i="35" s="1"/>
  <c r="B43" i="35"/>
  <c r="C62" i="35"/>
  <c r="K61" i="35"/>
  <c r="J61" i="35" s="1"/>
  <c r="E254" i="32" s="1"/>
  <c r="E27" i="32"/>
  <c r="C112" i="32"/>
  <c r="E253" i="32"/>
  <c r="G37" i="32"/>
  <c r="C35" i="35"/>
  <c r="K34" i="35"/>
  <c r="J34" i="35" s="1"/>
  <c r="G203" i="32" s="1"/>
  <c r="E117" i="32" s="1"/>
  <c r="K35" i="35" l="1"/>
  <c r="J35" i="35" s="1"/>
  <c r="G204" i="32" s="1"/>
  <c r="E118" i="32" s="1"/>
  <c r="C36" i="35"/>
  <c r="F31" i="32"/>
  <c r="F42" i="35"/>
  <c r="F258" i="32"/>
  <c r="C63" i="35"/>
  <c r="K62" i="35"/>
  <c r="J62" i="35" s="1"/>
  <c r="G261" i="32" s="1"/>
  <c r="B44" i="35"/>
  <c r="B69" i="35"/>
  <c r="K69" i="35" s="1"/>
  <c r="K43" i="35"/>
  <c r="J43" i="35" s="1"/>
  <c r="F32" i="32" l="1"/>
  <c r="F43" i="35"/>
  <c r="F259" i="32"/>
  <c r="C64" i="35"/>
  <c r="K63" i="35"/>
  <c r="J63" i="35" s="1"/>
  <c r="G262" i="32" s="1"/>
  <c r="C37" i="35"/>
  <c r="K36" i="35"/>
  <c r="J36" i="35" s="1"/>
  <c r="G205" i="32" s="1"/>
  <c r="E119" i="32" s="1"/>
  <c r="B21" i="35"/>
  <c r="K21" i="35" s="1"/>
  <c r="J21" i="35" s="1"/>
  <c r="H212" i="32" s="1"/>
  <c r="F126" i="32" s="1"/>
  <c r="B24" i="35"/>
  <c r="K24" i="35" s="1"/>
  <c r="J24" i="35" s="1"/>
  <c r="H215" i="32" s="1"/>
  <c r="F129" i="32" s="1"/>
  <c r="B55" i="35"/>
  <c r="K55" i="35" s="1"/>
  <c r="J55" i="35" s="1"/>
  <c r="H276" i="32" s="1"/>
  <c r="B46" i="35"/>
  <c r="K46" i="35" s="1"/>
  <c r="J46" i="35" s="1"/>
  <c r="H267" i="32" s="1"/>
  <c r="B25" i="35"/>
  <c r="K25" i="35" s="1"/>
  <c r="J25" i="35" s="1"/>
  <c r="H216" i="32" s="1"/>
  <c r="F130" i="32" s="1"/>
  <c r="B53" i="35"/>
  <c r="K53" i="35" s="1"/>
  <c r="J53" i="35" s="1"/>
  <c r="H274" i="32" s="1"/>
  <c r="B48" i="35"/>
  <c r="K48" i="35" s="1"/>
  <c r="J48" i="35" s="1"/>
  <c r="H269" i="32" s="1"/>
  <c r="B49" i="35"/>
  <c r="K49" i="35" s="1"/>
  <c r="J49" i="35" s="1"/>
  <c r="H270" i="32" s="1"/>
  <c r="B45" i="35"/>
  <c r="K45" i="35" s="1"/>
  <c r="J45" i="35" s="1"/>
  <c r="H266" i="32" s="1"/>
  <c r="B51" i="35"/>
  <c r="K51" i="35" s="1"/>
  <c r="J51" i="35" s="1"/>
  <c r="H272" i="32" s="1"/>
  <c r="B17" i="35"/>
  <c r="K17" i="35" s="1"/>
  <c r="J17" i="35" s="1"/>
  <c r="H208" i="32" s="1"/>
  <c r="F122" i="32" s="1"/>
  <c r="B19" i="35"/>
  <c r="K19" i="35" s="1"/>
  <c r="J19" i="35" s="1"/>
  <c r="H210" i="32" s="1"/>
  <c r="F124" i="32" s="1"/>
  <c r="B47" i="35"/>
  <c r="K47" i="35" s="1"/>
  <c r="J47" i="35" s="1"/>
  <c r="H268" i="32" s="1"/>
  <c r="B23" i="35"/>
  <c r="K23" i="35" s="1"/>
  <c r="J23" i="35" s="1"/>
  <c r="H214" i="32" s="1"/>
  <c r="F128" i="32" s="1"/>
  <c r="B54" i="35"/>
  <c r="K54" i="35" s="1"/>
  <c r="J54" i="35" s="1"/>
  <c r="H275" i="32" s="1"/>
  <c r="B50" i="35"/>
  <c r="K50" i="35" s="1"/>
  <c r="J50" i="35" s="1"/>
  <c r="H271" i="32" s="1"/>
  <c r="K44" i="35"/>
  <c r="J44" i="35" s="1"/>
  <c r="F260" i="32" s="1"/>
  <c r="B26" i="35"/>
  <c r="K26" i="35" s="1"/>
  <c r="J26" i="35" s="1"/>
  <c r="H217" i="32" s="1"/>
  <c r="F131" i="32" s="1"/>
  <c r="B52" i="35"/>
  <c r="K52" i="35" s="1"/>
  <c r="J52" i="35" s="1"/>
  <c r="H273" i="32" s="1"/>
  <c r="B18" i="35"/>
  <c r="K18" i="35" s="1"/>
  <c r="J18" i="35" s="1"/>
  <c r="H209" i="32" s="1"/>
  <c r="F123" i="32" s="1"/>
  <c r="B22" i="35"/>
  <c r="K22" i="35" s="1"/>
  <c r="J22" i="35" s="1"/>
  <c r="H213" i="32" s="1"/>
  <c r="F127" i="32" s="1"/>
  <c r="B20" i="35"/>
  <c r="K20" i="35" s="1"/>
  <c r="J20" i="35" s="1"/>
  <c r="H211" i="32" s="1"/>
  <c r="F125" i="32" s="1"/>
  <c r="J69" i="35"/>
  <c r="B70" i="35"/>
  <c r="K70" i="35" s="1"/>
  <c r="J70" i="35" s="1"/>
  <c r="B71" i="35"/>
  <c r="J283" i="32" l="1"/>
  <c r="H39" i="32"/>
  <c r="K71" i="35"/>
  <c r="J71" i="35" s="1"/>
  <c r="B72" i="35"/>
  <c r="C38" i="35"/>
  <c r="K38" i="35" s="1"/>
  <c r="J38" i="35" s="1"/>
  <c r="G207" i="32" s="1"/>
  <c r="E121" i="32" s="1"/>
  <c r="K37" i="35"/>
  <c r="J37" i="35" s="1"/>
  <c r="G206" i="32" s="1"/>
  <c r="E120" i="32" s="1"/>
  <c r="C65" i="35"/>
  <c r="K64" i="35"/>
  <c r="J64" i="35" s="1"/>
  <c r="G263" i="32" s="1"/>
  <c r="C66" i="35" l="1"/>
  <c r="K65" i="35"/>
  <c r="J65" i="35" s="1"/>
  <c r="G264" i="32" s="1"/>
  <c r="B73" i="35"/>
  <c r="K72" i="35"/>
  <c r="J72" i="35" s="1"/>
  <c r="F71" i="35"/>
  <c r="H40" i="32"/>
  <c r="J284" i="32"/>
  <c r="K66" i="35" l="1"/>
  <c r="J66" i="35" s="1"/>
  <c r="G265" i="32" s="1"/>
  <c r="C67" i="35"/>
  <c r="K67" i="35" s="1"/>
  <c r="J67" i="35" s="1"/>
  <c r="F72" i="35"/>
  <c r="H41" i="32"/>
  <c r="J285" i="32"/>
  <c r="B74" i="35"/>
  <c r="K73" i="35"/>
  <c r="J73" i="35" s="1"/>
  <c r="J286" i="32" l="1"/>
  <c r="F73" i="35"/>
  <c r="H42" i="32"/>
  <c r="B75" i="35"/>
  <c r="K75" i="35" s="1"/>
  <c r="J75" i="35" s="1"/>
  <c r="K74" i="35"/>
  <c r="J74" i="35" s="1"/>
  <c r="J288" i="32" l="1"/>
  <c r="F75" i="35"/>
  <c r="H44" i="32"/>
  <c r="H43" i="32"/>
  <c r="F74" i="35"/>
  <c r="J287" i="32"/>
</calcChain>
</file>

<file path=xl/sharedStrings.xml><?xml version="1.0" encoding="utf-8"?>
<sst xmlns="http://schemas.openxmlformats.org/spreadsheetml/2006/main" count="1614" uniqueCount="1059">
  <si>
    <t>and the volume of the leather container determines the volume of internal air.</t>
  </si>
  <si>
    <t>within the ranges tested, the volume remained constant to within</t>
  </si>
  <si>
    <t>the accuracy of our measurement technique regardless of pressure, level of wetness or dryness</t>
  </si>
  <si>
    <t>of the football, and the teams’ individual “preparation” of the football leather skin</t>
  </si>
  <si>
    <t>from footnote 33 on page 37: Therefore, it can be assumed that when the bladder is inside the leather skin, it is fully constrained by the leather</t>
  </si>
  <si>
    <t>what was the range of accuracy of the measurement?</t>
  </si>
  <si>
    <t>psi hypothesized variability</t>
  </si>
  <si>
    <t>% change in volume</t>
  </si>
  <si>
    <t>% change in on dimension</t>
  </si>
  <si>
    <t>dimension</t>
  </si>
  <si>
    <t>th of an inch accuracy</t>
  </si>
  <si>
    <t>We also note that none of these tests appeared to permanently affect the fundamental structural integrity of the footballs tested. The</t>
  </si>
  <si>
    <t>footballs did not begin to leak air or lose pressure as a result of the tests. Nor did the footballs appear to become any more or less</t>
  </si>
  <si>
    <t>susceptible to the environmentally-induced pressure changes discussed later in this report.</t>
  </si>
  <si>
    <t>pounds per square inch</t>
  </si>
  <si>
    <t>square inches</t>
  </si>
  <si>
    <t>How long were they exposed to moisture?</t>
  </si>
  <si>
    <t>No flexing while moist</t>
  </si>
  <si>
    <t>Fig 14</t>
  </si>
  <si>
    <t>Drop</t>
  </si>
  <si>
    <t>Initial temp, F</t>
  </si>
  <si>
    <t>Min temp, F</t>
  </si>
  <si>
    <t>Initial temp, R</t>
  </si>
  <si>
    <t>Final tem, R</t>
  </si>
  <si>
    <t>https://www.google.com/webhp?sourceid=chrome-instant&amp;ion=1&amp;espv=2&amp;ie=UTF-8#q=convert+f+to+r&amp;*</t>
  </si>
  <si>
    <t>P1/T1=P2/T2 thus P2=P1*T2/T1</t>
  </si>
  <si>
    <t>Min psi</t>
  </si>
  <si>
    <t>Initial psi</t>
  </si>
  <si>
    <t>Theory absolute pressure final pressure</t>
  </si>
  <si>
    <t>Theory final psi</t>
  </si>
  <si>
    <t>Initial experimental absolute pressure</t>
  </si>
  <si>
    <t>Final experimental absolute pressure</t>
  </si>
  <si>
    <t>Experimiental result this much HIGHER than theory</t>
  </si>
  <si>
    <t>Atmospheric pressure (exponent is near sea level, 14.70 according to Google)</t>
  </si>
  <si>
    <t>Elevation of Phoenix (where Exponent's tested), feet, per Google</t>
  </si>
  <si>
    <t xml:space="preserve">Temp in Phoenix in late winter https://weatherspark.com/averages/31259/3/Phoenix-Arizona-United-States </t>
  </si>
  <si>
    <t xml:space="preserve">atmospheric pressure in phoenix during testing  http://www.mide.com/pages/air-pressure-at-altitude-calculator </t>
  </si>
  <si>
    <t>Time factor of moisture exposure and combined effect with handling not examined</t>
  </si>
  <si>
    <t>The effect of wetting a previously dry ball was not examined:</t>
  </si>
  <si>
    <t>High-resolution laser scans of footballs, including footballs prepared by the Patriots and the Colts, at various pressures (from 10.50 to 13.50 psig) and at various moisture conditions were performed</t>
  </si>
  <si>
    <t xml:space="preserve">Volume did not change when changing pressure, regardless of the football and wetness: </t>
  </si>
  <si>
    <t>regardless of pressure, level of wetness or dryness of the football, and the teams’ individual “preparation” of the football leather skin (Ep37)</t>
  </si>
  <si>
    <t>Thus, in the pressure range of the present investigation, the football can be approximated as a fixed-volume container.33</t>
  </si>
  <si>
    <t>The effect of flexing a moisted ball was not examined</t>
  </si>
  <si>
    <t>The effect of moistening a previously dry  ball was not examined outside of the "simulation"</t>
  </si>
  <si>
    <t>But extreme force, extremely repetitive flexing was studied on a dry ball and made no difference.</t>
  </si>
  <si>
    <t>To simulate heavy game use, Exponent subjected a football pressurized within the specifications of the NFL Playing Rules to loading cycles of 650 pounds every 1 second for 1,000 cycles at room temperature Ep32</t>
  </si>
  <si>
    <t>Unsure if ball exactly matched Patriot technique, but sounds reasponable that it did</t>
  </si>
  <si>
    <t>This result was the same both for Exemplar Footballs and footballs prepared in the same manner as the Patriots prepared their game balls for the AFC Championship Game.28</t>
  </si>
  <si>
    <t>Example PSI change for initial ball set</t>
  </si>
  <si>
    <t>Begin PSI if subtracting the above</t>
  </si>
  <si>
    <t>Adjustment factor in end-pressure compared to small changes in beginning pressure</t>
  </si>
  <si>
    <t>Begin absolute pressure</t>
  </si>
  <si>
    <t>atmospheric pressure in foxboro on game day  (went a little high because foxboro stadium is on a hill)</t>
  </si>
  <si>
    <t>Absolute starting football pressure</t>
  </si>
  <si>
    <t>Absolute ending football pressure</t>
  </si>
  <si>
    <t>Theory final psi in foxoboro</t>
  </si>
  <si>
    <t>Amount by which foxboro ending pressure is lower than theoretical pressure in Phoenix</t>
  </si>
  <si>
    <t>end absolute pressure</t>
  </si>
  <si>
    <t>End psi</t>
  </si>
  <si>
    <t>Decrease in end pressure caused by decrease in beginning pressure</t>
  </si>
  <si>
    <t>Adjustment factor to convert initial pressure difference into ending pressure difference</t>
  </si>
  <si>
    <t>Eelvation of foxboro statdium (Foxboro is 289) guess 360</t>
  </si>
  <si>
    <t>Source</t>
  </si>
  <si>
    <t>estimate</t>
  </si>
  <si>
    <t>from above</t>
  </si>
  <si>
    <t>Pressure rise</t>
  </si>
  <si>
    <t>Scenario</t>
  </si>
  <si>
    <t>Patriots</t>
  </si>
  <si>
    <t>Difference</t>
  </si>
  <si>
    <t>Actual</t>
  </si>
  <si>
    <t>Colts</t>
  </si>
  <si>
    <t>Experiment must have wiped the ball quickly -- very little extra moisture in simulation</t>
  </si>
  <si>
    <t>Pressure drop was alsmost all due to leather expansion alone, not evaporative cooling</t>
  </si>
  <si>
    <t>so far can't prove the bag cooling didn't cause the 0.04 differerntial</t>
  </si>
  <si>
    <t>Bag cooling should be 0.10 to 0.13 (0.15 max)</t>
  </si>
  <si>
    <t xml:space="preserve">Bag either wet or not (binary).  </t>
  </si>
  <si>
    <t>leather expansion after any extra pressure-stretch caused by slight moisture</t>
  </si>
  <si>
    <t>extra stretch unproven.  Min =0, so max leather stretch 0.14</t>
  </si>
  <si>
    <t>Leather expansion un-mised cold balls, humid, 2 hours</t>
  </si>
  <si>
    <t>Ball-to-ball variabilty at pressure (but not at low pressure)</t>
  </si>
  <si>
    <t>Leather expnsion of cold misted balls, humid</t>
  </si>
  <si>
    <t>gas</t>
  </si>
  <si>
    <t>gauge</t>
  </si>
  <si>
    <t>leather un-stretch</t>
  </si>
  <si>
    <t>net leather stretch (moisture, pressure)</t>
  </si>
  <si>
    <t>extra expansion.  Due to humidity + more time + or bag cooling?</t>
  </si>
  <si>
    <t>Likely another 0.1 or more due to longer humidity exposure</t>
  </si>
  <si>
    <t>0.02 extra expansion due more time and moister air or due to 0.10  wet bag.  Clear answer: not due to wet bag.</t>
  </si>
  <si>
    <t>If wet enough to evaporate to explain the spread being 0.07, then way to wet to not expand more, so not due to evaporation.  So bag evap (being much bigger than ball evap) is not included, so bag was not sprayed</t>
  </si>
  <si>
    <t>Ball-to-ball variability at low pressure known to be strictly from moisture response (no gauge error etc) even when applied conditions very uniform</t>
  </si>
  <si>
    <t>Wet</t>
  </si>
  <si>
    <t>Dry</t>
  </si>
  <si>
    <t>Colts pressure</t>
  </si>
  <si>
    <t>air</t>
  </si>
  <si>
    <t>internal</t>
  </si>
  <si>
    <t>drop</t>
  </si>
  <si>
    <t>End</t>
  </si>
  <si>
    <t>patriots</t>
  </si>
  <si>
    <t>Colts dry</t>
  </si>
  <si>
    <t>Colts wet</t>
  </si>
  <si>
    <t>Stretch</t>
  </si>
  <si>
    <t>wet</t>
  </si>
  <si>
    <t>Gas law</t>
  </si>
  <si>
    <t>Loss from graph</t>
  </si>
  <si>
    <t>Pure leather expansion</t>
  </si>
  <si>
    <t>dry</t>
  </si>
  <si>
    <t>wet avg</t>
  </si>
  <si>
    <t>dry average</t>
  </si>
  <si>
    <t>All the pressure loss could be due to evaporation if a football with a constant film of water expands no more than one with no water if the air flow leaves the actual only 2/3rds as depressed as a wetbulb or film in the wind</t>
  </si>
  <si>
    <t>thin film plus wind = wetbulb: http://www.advantageengineering.com/fyi/273/advantageFYI273.php</t>
  </si>
  <si>
    <t>All the pressure loss could be due to moisture if the amount of moisture needed to double the leather expansion isn't enough to cool the ball at all</t>
  </si>
  <si>
    <t>Wind speeds diffusion (allowing faster evaporation) but also thins the insulating layer of stagnant air.  https://books.google.com/books?id=7AkhBQAAQBAJ&amp;pg=PA6&amp;lpg=PA6&amp;dq=how+close+to+wet+bulb+temperature+will+a+thin+film+of+water+with+no+air+flow&amp;source=bl&amp;ots=bPqh9xjK4J&amp;sig=RPRzOB5Dkvp2w-XJZoB9VBjE-_8&amp;hl=en&amp;sa=X&amp;ved=0ahUKEwiHoaPfwrHTAhVC62MKHWcgCkwQ6AEIQjAF#v=onepage&amp;q=how%20close%20to%20wet%20bulb%20temperature%20will%20a%20thin%20film%20of%20water%20with%20no%20air%20flow&amp;f=false</t>
  </si>
  <si>
    <t>With high velocity air, the evaporation rate of pottery matches the evporation rate of water film.</t>
  </si>
  <si>
    <t>Thus the cooling rate with wind is high, but so is the heat dissipation rate</t>
  </si>
  <si>
    <t>Above link was from google for how close to wetbulb temperature will a thin film of water with no air flow</t>
  </si>
  <si>
    <t>Purpose of wind is to remove heat so that within a minute you can dissipate the heat in the thermometer.</t>
  </si>
  <si>
    <t>minutes</t>
  </si>
  <si>
    <t>A</t>
  </si>
  <si>
    <t>Exponent data</t>
  </si>
  <si>
    <t>B</t>
  </si>
  <si>
    <t>F</t>
  </si>
  <si>
    <t>C</t>
  </si>
  <si>
    <t>T</t>
  </si>
  <si>
    <t>S</t>
  </si>
  <si>
    <t>I</t>
  </si>
  <si>
    <t>M</t>
  </si>
  <si>
    <t>E</t>
  </si>
  <si>
    <t>O</t>
  </si>
  <si>
    <t>P</t>
  </si>
  <si>
    <t>D</t>
  </si>
  <si>
    <t>G</t>
  </si>
  <si>
    <t>H</t>
  </si>
  <si>
    <t>J</t>
  </si>
  <si>
    <t>K</t>
  </si>
  <si>
    <t>L</t>
  </si>
  <si>
    <t>N</t>
  </si>
  <si>
    <t>Q</t>
  </si>
  <si>
    <t>R</t>
  </si>
  <si>
    <t>U</t>
  </si>
  <si>
    <t>V</t>
  </si>
  <si>
    <t>W</t>
  </si>
  <si>
    <t>X</t>
  </si>
  <si>
    <t>Y</t>
  </si>
  <si>
    <t>Z</t>
  </si>
  <si>
    <t>Row</t>
  </si>
  <si>
    <t>Item</t>
  </si>
  <si>
    <t>Value</t>
  </si>
  <si>
    <t>Units</t>
  </si>
  <si>
    <t>psi</t>
  </si>
  <si>
    <t>%</t>
  </si>
  <si>
    <t>Exponent lab test start temp</t>
  </si>
  <si>
    <t>Figure 21</t>
  </si>
  <si>
    <t>Exponent lab test end temp</t>
  </si>
  <si>
    <t>Exponent test temp differential</t>
  </si>
  <si>
    <t>Ball temp on field</t>
  </si>
  <si>
    <t>Relative humidity on field</t>
  </si>
  <si>
    <t>Football cooling effect of wet bag</t>
  </si>
  <si>
    <t>Apply above two to wetbulb calcualtor</t>
  </si>
  <si>
    <t>% of above cooling that affected footballs</t>
  </si>
  <si>
    <t>Starting pressure of lab test</t>
  </si>
  <si>
    <t>Figure 22, wet patriots ball</t>
  </si>
  <si>
    <t>psi/F</t>
  </si>
  <si>
    <t>Gas law corroborated by Table 10</t>
  </si>
  <si>
    <t>pre-cooling pressure in lab tet</t>
  </si>
  <si>
    <t>End pressure for lab test</t>
  </si>
  <si>
    <t>Pressure change per degree of temp change</t>
  </si>
  <si>
    <t>Final pressure for lab test</t>
  </si>
  <si>
    <t>Test descritpoin figure 21, 22</t>
  </si>
  <si>
    <t>Test desription for Figure 21</t>
  </si>
  <si>
    <t>Total pressure to re-gain in lab test</t>
  </si>
  <si>
    <t>Time (minutes)</t>
  </si>
  <si>
    <t>Time and pressure: read from Exponent Fig 21 (or Fig 22 for the final number)</t>
  </si>
  <si>
    <t>N/A</t>
  </si>
  <si>
    <t>gained  this period (psi)</t>
  </si>
  <si>
    <t>Total gained</t>
  </si>
  <si>
    <t>% gained this period</t>
  </si>
  <si>
    <t>% gain per minute from here to next</t>
  </si>
  <si>
    <t>% of total future gain gained since start</t>
  </si>
  <si>
    <t xml:space="preserve"> actual pressure (psi) Exponent lab</t>
  </si>
  <si>
    <t>Temp at ref check (actual)</t>
  </si>
  <si>
    <t>Gauge says</t>
  </si>
  <si>
    <t>c</t>
  </si>
  <si>
    <t>clicks per X 1</t>
  </si>
  <si>
    <t>clicks per Y (zoom in)</t>
  </si>
  <si>
    <t>clicks to target</t>
  </si>
  <si>
    <t>Gauge says higher by</t>
  </si>
  <si>
    <t>Pressure is really</t>
  </si>
  <si>
    <t>added bias per psi of real pressure</t>
  </si>
  <si>
    <t>Outdoor temp day Exponent visited</t>
  </si>
  <si>
    <t>Outdoor temp when balls approved</t>
  </si>
  <si>
    <t>Dressing room and locker room temp</t>
  </si>
  <si>
    <t>Shower cooler than dressing on visit</t>
  </si>
  <si>
    <t>temp diff dessing vs. outdoor on visit</t>
  </si>
  <si>
    <t>temp diff dressing vs. outdoor on game day</t>
  </si>
  <si>
    <t>shower cooling on game day</t>
  </si>
  <si>
    <t>Shower temp on game day</t>
  </si>
  <si>
    <t>ball change as % of difference</t>
  </si>
  <si>
    <t>Temperature loss, average</t>
  </si>
  <si>
    <t>Ball temp when checked</t>
  </si>
  <si>
    <t>Time balls exposed to shower air (avg.)</t>
  </si>
  <si>
    <t>Time recorded measurements start</t>
  </si>
  <si>
    <t>Time to take out (average)</t>
  </si>
  <si>
    <t>Average start of time out of bag</t>
  </si>
  <si>
    <t>Time to put back in bag</t>
  </si>
  <si>
    <t>Time to go set and start</t>
  </si>
  <si>
    <t>Time in open (avg)</t>
  </si>
  <si>
    <t>% gain at next earlier point</t>
  </si>
  <si>
    <t>gain per minute after that</t>
  </si>
  <si>
    <t>Correponding temperature change</t>
  </si>
  <si>
    <t>Temp bag surface if has film of water (outdoors)</t>
  </si>
  <si>
    <t>Temp bag surface if has film of water (indoors)</t>
  </si>
  <si>
    <t>Balls tested</t>
  </si>
  <si>
    <t>Minutes per ball</t>
  </si>
  <si>
    <t>prior time point</t>
  </si>
  <si>
    <t>Fit</t>
  </si>
  <si>
    <t>rate below of bias gain per psi above base</t>
  </si>
  <si>
    <t>Bias at base</t>
  </si>
  <si>
    <t>Fit line base</t>
  </si>
  <si>
    <t>bias increase per psi</t>
  </si>
  <si>
    <t>o</t>
  </si>
  <si>
    <t>r</t>
  </si>
  <si>
    <t>Gauge reads)</t>
  </si>
  <si>
    <t>Test actual (A)</t>
  </si>
  <si>
    <t xml:space="preserve">G (Gauge) </t>
  </si>
  <si>
    <t>G=A+o+(A-B)*r</t>
  </si>
  <si>
    <t>G-o=A(1+r)-B*r</t>
  </si>
  <si>
    <t>G-o+B*r=A(1+r)</t>
  </si>
  <si>
    <t>(G-o+B*r)/(1+r)=A</t>
  </si>
  <si>
    <t xml:space="preserve">Bias = </t>
  </si>
  <si>
    <t>Colts last measurement</t>
  </si>
  <si>
    <t>minute</t>
  </si>
  <si>
    <t>Colts balls</t>
  </si>
  <si>
    <t>Colts first measurement</t>
  </si>
  <si>
    <t>Actual starting pressure</t>
  </si>
  <si>
    <t>Colts actual</t>
  </si>
  <si>
    <t xml:space="preserve"> </t>
  </si>
  <si>
    <t>Left to gain</t>
  </si>
  <si>
    <t>Otherwise Wells would have said "11" or "under 11"</t>
  </si>
  <si>
    <t>Exponent fit</t>
  </si>
  <si>
    <t>Therefore Master*1.05-.2836 = Logo</t>
  </si>
  <si>
    <t>Standard deviation of undisclose gauge at 11 psi</t>
  </si>
  <si>
    <t>Non-logo shows extra .05: ability to shift.  Exponent hid that it was the non-logo gauge that has the shift that seems to make it start under-reading in later readings</t>
  </si>
  <si>
    <t>Exponent would not have disclosed in their calibration chart the non-logo tendency to shift to under reading</t>
  </si>
  <si>
    <t>Reading can be consistenly high, then suddenly shift to consistently low.</t>
  </si>
  <si>
    <t>Exponent Figure 8</t>
  </si>
  <si>
    <t>Exponent Table 1, compare gauge differences first 6 Patriots to last 5, of first colts to last 3</t>
  </si>
  <si>
    <t>Figure 9: All "accurate" non-referee gauges can under-read another 0.11 psi per 10 degrees cooler .  That would make actual pressure higher than Colts said, but a used non-logo clould drift the other way</t>
  </si>
  <si>
    <t>over-read per 10F drop</t>
  </si>
  <si>
    <t>Temperture drift, non-logo</t>
  </si>
  <si>
    <t>The non-logo tended to over-read slightly less with temperature than the logo</t>
  </si>
  <si>
    <t>Over-read by non-logo (used) if 20 degrees cold.  All used gauges did this</t>
  </si>
  <si>
    <t>Colts gauge would have been warm</t>
  </si>
  <si>
    <t>Should be no temperature effect</t>
  </si>
  <si>
    <t>Wells said Intern had to locate a guage (so it wasn't ouside, so gauge was warm, so non-issue)</t>
  </si>
  <si>
    <t>Over-read per shift degree cold the gauge gets</t>
  </si>
  <si>
    <t>Both used gauges have about the same thermal drift</t>
  </si>
  <si>
    <t>Exponent Figure 7, applies to either gauge type (ie: used Wilson gauges, logo or non-logo)</t>
  </si>
  <si>
    <t>In-out differential</t>
  </si>
  <si>
    <t>Minutes to wait</t>
  </si>
  <si>
    <t>Time to close half the gap</t>
  </si>
  <si>
    <t>gague temp change</t>
  </si>
  <si>
    <t>Actual pressure</t>
  </si>
  <si>
    <t>Lowest Colts could have reported</t>
  </si>
  <si>
    <t>Figure 13: (Master = Logo + .2836)/1.050</t>
  </si>
  <si>
    <t>Figure 13 Master = )non-logo +0.1444/1.015</t>
  </si>
  <si>
    <t>Exponent Figure 13</t>
  </si>
  <si>
    <t>Gauge temperature drift (tends toward over-reading)</t>
  </si>
  <si>
    <t>Standard deviation, excluding predictable sudden shift of 0.10 psi</t>
  </si>
  <si>
    <t>Note: Shift would make it under-read 0.10, driving up the actual pressure, making it even easier to prove the referee was right -- so no need to use this shift or the larger standard deviation of the non-logo (accurate) gauge that included that shift</t>
  </si>
  <si>
    <t>Standard deviations neeeded on this one measurement to basically settle the issue given all the other evidence</t>
  </si>
  <si>
    <t>#</t>
  </si>
  <si>
    <t>Minimum pressure to prove right gauge</t>
  </si>
  <si>
    <t>Actual pressure in wells report</t>
  </si>
  <si>
    <t>Non-logo reading in Wells report</t>
  </si>
  <si>
    <t>The  2nd of 11.35 would reflect the under-read shift and thus can be ignored (including the other would help the Patriots)</t>
  </si>
  <si>
    <t>Minium real-world warming rise from field to measurement that would be too much to be consistent with the Colts gauge beingn like the non-logo one</t>
  </si>
  <si>
    <t>Fill-to-check temp difference for Patriots (Patriots appeared warmer)</t>
  </si>
  <si>
    <t>Fill-to-check temp difference for Colts</t>
  </si>
  <si>
    <t>Likely uncertainty of how tightly the gauges agree</t>
  </si>
  <si>
    <t>Pressure uncertainty</t>
  </si>
  <si>
    <t>Figure 23</t>
  </si>
  <si>
    <t>Warming minutes to get that rise</t>
  </si>
  <si>
    <t>Read from pressure rise curve graph, wet ball = worst case)</t>
  </si>
  <si>
    <t>Pressure rise to exactly match the ref being right</t>
  </si>
  <si>
    <t>Minute to exactly match the ref being right</t>
  </si>
  <si>
    <t>Read from curve</t>
  </si>
  <si>
    <t>Ultimate rise</t>
  </si>
  <si>
    <t>% of rise to exactly match the ref being wrong</t>
  </si>
  <si>
    <t>% of total rise to disprove ref was wrong</t>
  </si>
  <si>
    <t>Actual pressure based on above if ref wrong</t>
  </si>
  <si>
    <t>if ref right</t>
  </si>
  <si>
    <t>8:00</t>
  </si>
  <si>
    <t>PM</t>
  </si>
  <si>
    <t>Ball arrives in locker room</t>
  </si>
  <si>
    <t>Lag time for Riveron to arrive</t>
  </si>
  <si>
    <t>"arriving a few minutes after Daniels"</t>
  </si>
  <si>
    <t>Locate Patriots gauge, make 3 measurements</t>
  </si>
  <si>
    <t>Lag time before second set</t>
  </si>
  <si>
    <t>"A few minutes later, the
game officials and other NFL representatives started arriving in the Officials Locker Room for
halftime. Riveron took the intercepted ball from Daniel and walked into the dressing room area
of the locker room.
While Daniel and Riveron were testing the intercepted ball</t>
  </si>
  <si>
    <t>Patriots Wet</t>
  </si>
  <si>
    <t>Patriots Dry</t>
  </si>
  <si>
    <t>Lab start</t>
  </si>
  <si>
    <t>Fig. 22</t>
  </si>
  <si>
    <t>Ref right about which gauge was used?</t>
  </si>
  <si>
    <t>prior % of total rise at prior point</t>
  </si>
  <si>
    <t>% of total rise at requested time</t>
  </si>
  <si>
    <t>% rise/min from prior point headed toward now</t>
  </si>
  <si>
    <t>Field air temperature</t>
  </si>
  <si>
    <t>Exponent p. 2</t>
  </si>
  <si>
    <t>Sea level pressure, halftime</t>
  </si>
  <si>
    <t>Inches of mercury</t>
  </si>
  <si>
    <t>same as above</t>
  </si>
  <si>
    <t>https://www.wunderground.com/history/airport/KOWD/2015/1/18/DailyHistory.html (7:53pm) (10 miles from stadium)</t>
  </si>
  <si>
    <t>Elevation of Stadium</t>
  </si>
  <si>
    <t>feet</t>
  </si>
  <si>
    <t xml:space="preserve">http://elevationmap.net/1-patriot-pl-foxborough-ma-02035-usa?latlngs=(42.0909458,-71.26434649999999) </t>
  </si>
  <si>
    <t>Air pressure reduction example elevation</t>
  </si>
  <si>
    <t>http://www.engineeringtoolbox.com/air-altitude-pressure-d_462.html</t>
  </si>
  <si>
    <t>Air pressure reduction to go up 500 feet</t>
  </si>
  <si>
    <t>actual air pressure at stadium</t>
  </si>
  <si>
    <t>Apply above two to wetbulb calculator: https://www.weather.gov/epz/wxcalc_rh</t>
  </si>
  <si>
    <t>Temperature/weather data</t>
  </si>
  <si>
    <t>Exponent p. 48 "dressing area of the Officials Locker Room (which is constrained
between 71°F and 74°F by the building HVAC)."  Note: heatingcycles between those points.  Balls in bag, so they have the average)</t>
  </si>
  <si>
    <t>Dewpoint</t>
  </si>
  <si>
    <t>output from above calculator</t>
  </si>
  <si>
    <t>find the relative humidity value that causes the wetbulb calculator to show the dewpoint above.  The result is less favorable to the Patriots than the 20% approximation used by Exponent p. 42</t>
  </si>
  <si>
    <t>Sea level pressure, 3:53 (when ref approved footballs)</t>
  </si>
  <si>
    <t>Google for: convert inches of mercury to psi.  Enter 0.20 in the calculator that appears</t>
  </si>
  <si>
    <t>Elevation of Phoenix (Exponent testing)</t>
  </si>
  <si>
    <t>Apparent pressure gain in footballs due to outdoor pressure loss</t>
  </si>
  <si>
    <t>Temperature on typical March afternoon above</t>
  </si>
  <si>
    <t xml:space="preserve">https://weatherspark.com/averages/31259/3/Phoenix-Arizona-United-States </t>
  </si>
  <si>
    <t>Actual pressure (at elevation) in Phoenix</t>
  </si>
  <si>
    <t xml:space="preserve">Apply above to: http://www.mide.com/pages/air-pressure-at-altitude-calculator </t>
  </si>
  <si>
    <t>Google: absolute zero in fahrenheit</t>
  </si>
  <si>
    <t>Pressure at Stadium at halftime (outside)</t>
  </si>
  <si>
    <t>Google for: convert inches of mercury to psi.  Enter 29.43 in the calculator that appears</t>
  </si>
  <si>
    <t>Exponent Figure 21</t>
  </si>
  <si>
    <t>Absolute temperature of zero F</t>
  </si>
  <si>
    <t>Rankine (R   )</t>
  </si>
  <si>
    <t>Visited Feb 7 (Exponent p. 48).  https://www.wunderground.com/history/airport/KOWD/2015/2/7/DailyHistory.html 9:53 AM (Exponent would have arrived from Phoenix the night before. High for the day was 28)</t>
  </si>
  <si>
    <t>Bag was in warm area until testing started.  Time exposed is based on time to take out and test (see separate sheet)</t>
  </si>
  <si>
    <t xml:space="preserve">Exponent p. 48 </t>
  </si>
  <si>
    <t>(dress temp -shower temp)  as % of (dress temp - outdoors temp)</t>
  </si>
  <si>
    <t>Pressure change (immediate) per degree of temp change</t>
  </si>
  <si>
    <t>Start pressure, nearly all balls, according to referee gauge</t>
  </si>
  <si>
    <t>Balls gain pressure because outside pressure droped after the referee checked them</t>
  </si>
  <si>
    <t>Shower area when Exponent visited (average temperature)</t>
  </si>
  <si>
    <t>Purpose</t>
  </si>
  <si>
    <t>Medium</t>
  </si>
  <si>
    <t>Quantify cooling effect of wet bag</t>
  </si>
  <si>
    <t>Quantify football pressure gain caused by weather</t>
  </si>
  <si>
    <t>Quantify pressure loss</t>
  </si>
  <si>
    <t>quanitfy indoor humidity to quantify cooling by wet bag at halftime</t>
  </si>
  <si>
    <t>quantify cooling by wet bag during first half</t>
  </si>
  <si>
    <t>quantify pressure drop and pressure re-gain</t>
  </si>
  <si>
    <t>Relative humidity indoors at half time</t>
  </si>
  <si>
    <t>quanitty cooling by wet bag during halftime</t>
  </si>
  <si>
    <t>quantify expected pressure drop and later re-gain</t>
  </si>
  <si>
    <t>Adjust exponent data to fit real-world conditions</t>
  </si>
  <si>
    <t>Adjust exponent data to reflect game-day temp in shower area, to help determine how much air was in the footballs to start</t>
  </si>
  <si>
    <t>Determine how much less cool the shower area was on game day compared to whenn Exponent visited</t>
  </si>
  <si>
    <t>Determine how much the balls cooled before the ref approved them</t>
  </si>
  <si>
    <t>Determine how much less cool the shower area was on game day compared to when Exponent visited</t>
  </si>
  <si>
    <t>how much closer is the shower area temp to the indoor temp than the outdoor temp</t>
  </si>
  <si>
    <t>How much less was the outdoor air cooling the shower area on game day</t>
  </si>
  <si>
    <t>How much cooler was the shower area than the dressing area on game day</t>
  </si>
  <si>
    <t>how much cooler was the air the footballs were exposed to briefly before they were approved?</t>
  </si>
  <si>
    <t>Correct for Wells pretending the footballs had plenty of time to cool to the shower area temperature</t>
  </si>
  <si>
    <t>quantify cooling by wet bag during halftime</t>
  </si>
  <si>
    <t>Starting ball pressure</t>
  </si>
  <si>
    <t>Start temperature</t>
  </si>
  <si>
    <t>End temperature</t>
  </si>
  <si>
    <t>Pressure reported by referee</t>
  </si>
  <si>
    <t>Guage bias</t>
  </si>
  <si>
    <t>Actual ball pressure</t>
  </si>
  <si>
    <t xml:space="preserve">psi </t>
  </si>
  <si>
    <t>Exponent Figure 14</t>
  </si>
  <si>
    <t>Exponent figure 14</t>
  </si>
  <si>
    <t>Exponent figure 14, the temperature sensor in the ball had bottomed out and drifted up sligthly.</t>
  </si>
  <si>
    <t>Ball pressure at that time</t>
  </si>
  <si>
    <t>outside air pressure</t>
  </si>
  <si>
    <t>absolute pressure in ball</t>
  </si>
  <si>
    <t>Absolute start temperature</t>
  </si>
  <si>
    <t>Absolute end temperature</t>
  </si>
  <si>
    <t>End absute pressure (gas law)</t>
  </si>
  <si>
    <t>End ball pressure</t>
  </si>
  <si>
    <t>Time mark at end of cool period</t>
  </si>
  <si>
    <t>Time mark at which internall ball temperature stopped falling</t>
  </si>
  <si>
    <t>Time after temperature bottomed out</t>
  </si>
  <si>
    <t>Pressure bottomed out</t>
  </si>
  <si>
    <t>Apparent pressure drop per hour</t>
  </si>
  <si>
    <t>Starting temperature</t>
  </si>
  <si>
    <t>Ending temperature</t>
  </si>
  <si>
    <t>Exponent Figure 21 description</t>
  </si>
  <si>
    <t>Starting absolute pressure</t>
  </si>
  <si>
    <t>End absolute pressure</t>
  </si>
  <si>
    <t>Exponent figure 22</t>
  </si>
  <si>
    <t>End pressure, dry ball</t>
  </si>
  <si>
    <t>End pressure, "wet" ball</t>
  </si>
  <si>
    <t>Gas law: P_new=P_old*T_New/T_old</t>
  </si>
  <si>
    <t>Absolute pressure - outside pressure</t>
  </si>
  <si>
    <t>above plus outiside air pressure</t>
  </si>
  <si>
    <t>Gas law prediction (constant volume) - actual result</t>
  </si>
  <si>
    <t>psi drop per hour of exposure to moisture</t>
  </si>
  <si>
    <t>Extra pressure drop due to humidity causing leather to expand, causing the volume to expand, thus causing extra pressure drop</t>
  </si>
  <si>
    <t>End ball pressure (theory)</t>
  </si>
  <si>
    <t>Apparent psi change due to volume change due to cooler air being more humid, causing leathe to expand</t>
  </si>
  <si>
    <t>Notice that the pressure kept dropping along a straight line after the tempeature had bottomed out</t>
  </si>
  <si>
    <t>Additional pressure drop for stadium compared to Exponent lab</t>
  </si>
  <si>
    <t>(Reported pressure + 0.2836)/1.05) (See Exponent Figure 13)</t>
  </si>
  <si>
    <t>Drop due to gas law</t>
  </si>
  <si>
    <t>Pressure drop due to gas law</t>
  </si>
  <si>
    <t>Actual game day, Patriots</t>
  </si>
  <si>
    <t>Actual game day, Colts</t>
  </si>
  <si>
    <t>Apparent starting  ball pressure</t>
  </si>
  <si>
    <t>Actual starting ball pressure</t>
  </si>
  <si>
    <t>Referee testimony</t>
  </si>
  <si>
    <t>See gas law calculations</t>
  </si>
  <si>
    <t>Reversible weather drop, wet ball</t>
  </si>
  <si>
    <t>Reversible weather drop, dry ball</t>
  </si>
  <si>
    <t>Pressure loss due to re-inserting guage to check pressure</t>
  </si>
  <si>
    <t>Pressure that would be observed on the field (wet)</t>
  </si>
  <si>
    <t>Pressure that would be observed on field (dry)</t>
  </si>
  <si>
    <t>Pressure gain caused by air pressure drop outside</t>
  </si>
  <si>
    <t>Exponent Figure 22 compared to gas law</t>
  </si>
  <si>
    <t>See temperature calculations</t>
  </si>
  <si>
    <t>End pressure rise due to temperature warmer in half-time locker room than the balls were when approved</t>
  </si>
  <si>
    <t>Minute of test at which the dry ball had finished warming (pressure curve when completely flat)</t>
  </si>
  <si>
    <t>Pressure drop at end of the cold period seen in the "wet" ball (in which the air was damp)</t>
  </si>
  <si>
    <t>Pressure at that plateau of dry ball</t>
  </si>
  <si>
    <t>By gas law, the pressure of dry ball would have been</t>
  </si>
  <si>
    <t>Pressure drop that remained when the dry ball had leveled off at room temperature</t>
  </si>
  <si>
    <t>The above could not be due to evaporation because the ball was dry.  Therefore the leather had expanded from exposure to higher humidity when cool and had not yet dried and shrunk back to the original size</t>
  </si>
  <si>
    <t>The above Patriots ball, when cool, had not lost more pressure than would be caused by leather expansion due to moisture, therefore essentially none of the above change was due to cooling from evaporation and all of it was caused by the leather expanding due to moisture.   Therefore, when predicting ball pressure, the above leather expansion amounts must be added to the effects of temperature drop caused by cooling of the wet bag.</t>
  </si>
  <si>
    <t>Colts on-field (wet)</t>
  </si>
  <si>
    <t>Colts on-field (dry)</t>
  </si>
  <si>
    <t>Final pressure for lab test (if run until balls warmed and dried)</t>
  </si>
  <si>
    <t>Time factor</t>
  </si>
  <si>
    <t>Determine how much cooling happened in the above time</t>
  </si>
  <si>
    <t>Far smaller than the NFL assumed</t>
  </si>
  <si>
    <t>Illustration of the impact of the NFL/Exponent not accounting for how much warmer the shower area was on game day and how little time the balls were exposed before they were checked by the ref</t>
  </si>
  <si>
    <t>Combination of temp and leather effects</t>
  </si>
  <si>
    <t>Pressure item (psi)</t>
  </si>
  <si>
    <t>If ref right: (Reported pressure + 0.2836)/1.05) (See Exponent Figure 13), otherwise (Reported pressure +0.1444)/1.015</t>
  </si>
  <si>
    <t>factor by which dry bag slows warming of 11 footballs</t>
  </si>
  <si>
    <t>ratio</t>
  </si>
  <si>
    <t>eventual rise/fall (psi)</t>
  </si>
  <si>
    <t>actual - predict (psi)</t>
  </si>
  <si>
    <t>Time since footballs came inside (minutes)</t>
  </si>
  <si>
    <t>Pressure the logo gauge (ref said he used) would report (psi)</t>
  </si>
  <si>
    <t>Pats On-field (wet)</t>
  </si>
  <si>
    <t>Pats On-field (dry)</t>
  </si>
  <si>
    <t>ball #</t>
  </si>
  <si>
    <t>11 in (wet)</t>
  </si>
  <si>
    <t>Note: leather doesn't dry out in the relevant time period.</t>
  </si>
  <si>
    <t>pounds</t>
  </si>
  <si>
    <t>footballs in bag experiment</t>
  </si>
  <si>
    <t>Total mass of 11 balls plus bag</t>
  </si>
  <si>
    <t>Balls left in bag on game day</t>
  </si>
  <si>
    <t>Total mass of balls and bag on game day</t>
  </si>
  <si>
    <t>Factor by which wet bag slows warming of the few footballs, before accounting for cool bag surface</t>
  </si>
  <si>
    <t>Bag temperature as % of temperature differential to cool air</t>
  </si>
  <si>
    <t>Note: mass of footballs being put bag in bag similar to mass of wet bag</t>
  </si>
  <si>
    <t>Temperature rise for 3 in bag</t>
  </si>
  <si>
    <t>Temperature rise of bag itself</t>
  </si>
  <si>
    <t>3 in the whole time</t>
  </si>
  <si>
    <t>5 (wet) just before back in</t>
  </si>
  <si>
    <t>Temperature difference between final (cooled)bag temp and startign bag and ball temp</t>
  </si>
  <si>
    <t>Pressure will rise by the time the ball reaches the final bag temperature</t>
  </si>
  <si>
    <t>Weight of wet bag</t>
  </si>
  <si>
    <t>5 (wet) out then in</t>
  </si>
  <si>
    <t>Balls out warmer than bag final temp</t>
  </si>
  <si>
    <t>Bag has not quit regained final temp (average over next few minutes)</t>
  </si>
  <si>
    <t>Total coolign effect of bag</t>
  </si>
  <si>
    <t>Pressure equivalent of above</t>
  </si>
  <si>
    <t>5 (dry) out then in</t>
  </si>
  <si>
    <t>wet out the whole time</t>
  </si>
  <si>
    <t>5 (dry) out just before back in</t>
  </si>
  <si>
    <t>Dry out the whole time</t>
  </si>
  <si>
    <t>Work backwards for Intercepted ball</t>
  </si>
  <si>
    <t>Logo reading</t>
  </si>
  <si>
    <t>actual</t>
  </si>
  <si>
    <t>gain %</t>
  </si>
  <si>
    <t xml:space="preserve">psi to gain 100% </t>
  </si>
  <si>
    <t>Time</t>
  </si>
  <si>
    <t>Pats actual</t>
  </si>
  <si>
    <t>all in bag</t>
  </si>
  <si>
    <t>wet out then in</t>
  </si>
  <si>
    <t>dry out then in</t>
  </si>
  <si>
    <t>3 wet in bag</t>
  </si>
  <si>
    <t>out wet</t>
  </si>
  <si>
    <t>out dry</t>
  </si>
  <si>
    <t>intercepted dry</t>
  </si>
  <si>
    <t>intercepted wet</t>
  </si>
  <si>
    <t>3 dry in bag</t>
  </si>
  <si>
    <t>3 dry in</t>
  </si>
  <si>
    <t>11 in (dry)</t>
  </si>
  <si>
    <t>all in bag dry</t>
  </si>
  <si>
    <t>Measures approximately 11</t>
  </si>
  <si>
    <t>Equipment manager calls someone in game operations</t>
  </si>
  <si>
    <t>8pm</t>
  </si>
  <si>
    <t>Walked ball inside (p. 64)</t>
  </si>
  <si>
    <t>A few minutes after ball walked inside, Riveron arrives (p64)</t>
  </si>
  <si>
    <t>Riveron speaks with Northeast Regional Supervisor of Officials, NFL  (Grier) to tell him to tell the officials to bring the game balls in at halftime</t>
  </si>
  <si>
    <t>That person calls the head of game operations (Daniels)</t>
  </si>
  <si>
    <t>Riveron asks Daniels to retrieve guage from dressing room (Patriots gauge)</t>
  </si>
  <si>
    <t>Kensil lost site of the footballs at the beginning of half time.  Walks to locker room: not there, walks about out</t>
  </si>
  <si>
    <t>Kensil walks to patriots locker room</t>
  </si>
  <si>
    <t>Asks patriots employee to check locker room</t>
  </si>
  <si>
    <t>Event</t>
  </si>
  <si>
    <t>Interception</t>
  </si>
  <si>
    <t>Duration (minutes)</t>
  </si>
  <si>
    <t>end time</t>
  </si>
  <si>
    <t>Walk off field</t>
  </si>
  <si>
    <t>Checks feel of ball</t>
  </si>
  <si>
    <t>Time source</t>
  </si>
  <si>
    <t>Intern goes to get gauge and returns</t>
  </si>
  <si>
    <t>"upon reaching the sideline"</t>
  </si>
  <si>
    <t>Wells passage (start on page 63)</t>
  </si>
  <si>
    <t>"At approximately 7:47 p.m."</t>
  </si>
  <si>
    <t>Hands ball Dir. Of Player engagement</t>
  </si>
  <si>
    <t>Hands to Assistant equipment manager</t>
  </si>
  <si>
    <t>"immediately handed the ball"</t>
  </si>
  <si>
    <t>the ball felt similar to the footballs intercepted earlier in the season</t>
  </si>
  <si>
    <t>"he asked one of the team's equipment interns to locate a pressure gauge"</t>
  </si>
  <si>
    <t>Intern measures pressure</t>
  </si>
  <si>
    <t>Gives ball to assistant equip</t>
  </si>
  <si>
    <t>Seabrooks then walked with the intercepted football</t>
  </si>
  <si>
    <t>assistant equip walks to equip manager</t>
  </si>
  <si>
    <t>to Equipment Manager Sean Sullivan,</t>
  </si>
  <si>
    <t>Equip manager inspects</t>
  </si>
  <si>
    <t>who squeezed the ball and agreed that it felt soft.</t>
  </si>
  <si>
    <t>Tries to get on-field officials to address -- they indicate it's not their job</t>
  </si>
  <si>
    <t>to the attention of a game official on the Colts sideline</t>
  </si>
  <si>
    <t>Daniels heads to side line</t>
  </si>
  <si>
    <t>assumed</t>
  </si>
  <si>
    <t>Daniels chats with colts the walks off field</t>
  </si>
  <si>
    <t>"Lee used the Game Operations radio system to alert Akil Coad, James Daniel</t>
  </si>
  <si>
    <t>Sullivan also alerted Danielle Lee</t>
  </si>
  <si>
    <t>Daniel arrived on the Colts sideline a few minutes later,</t>
  </si>
  <si>
    <t>From above, we can tell that the time to to get the gauge was significant, thus the gauge was inside, warm, and thus thermal drift in gauge readout could not have been much of a factor.  We can also tell that "a few minutes" is unlikely to mean "two minutes".  The ball warmed from the chilled-by-bag temperature to the air temperature while awiating measurement, (except rain could cool it slightly, while handling could warm it).  The field air temperature is a good approximation for the ball temperature at the time it was measured by the Colts</t>
  </si>
  <si>
    <t>Ball starts warming up (because it went inside)</t>
  </si>
  <si>
    <t>Riveron arrives in the locker room</t>
  </si>
  <si>
    <t>Riveron makes phone call</t>
  </si>
  <si>
    <t>Riveron gets Daniel to go to dressing area, return with gauge</t>
  </si>
  <si>
    <t>Wells</t>
  </si>
  <si>
    <t>"a few minutes later" Riveron takes intercepted ball into the dressing area</t>
  </si>
  <si>
    <t>Riveron goes into dressing area</t>
  </si>
  <si>
    <t>"During testing the first half was coming to an end " (vague, but suggests testing continued until close to the end of the first half</t>
  </si>
  <si>
    <t>After this point in the Wells report, the timing information is relative to future events (the end of the first half) rather than past events.</t>
  </si>
  <si>
    <t>Time before half</t>
  </si>
  <si>
    <t>In parallel with the above, officials were ready to collect the balls the instant the half ended</t>
  </si>
  <si>
    <t xml:space="preserve">Vincent and Kensil arrived at the Patriots sideline shortly before the end of the first half to supervise the collection of the game balls. </t>
  </si>
  <si>
    <t>Vincent stood behind the Patriots bench and watched as the balls were put into the appropriate ball bags</t>
  </si>
  <si>
    <t>Halftime starts</t>
  </si>
  <si>
    <t>Sees the balls coming in from the field (before the Patriots employee finished looking for the balls in the locker room)</t>
  </si>
  <si>
    <t>Balls head inside on the way to the locker room '8:28:25 PM (p65) (elapsed time since the intercepted ball entered the locker room)</t>
  </si>
  <si>
    <t>Halftime ends</t>
  </si>
  <si>
    <t>See estimate made below based on the witness timeline</t>
  </si>
  <si>
    <t>End of possible measurement period</t>
  </si>
  <si>
    <t>Finds referee gauge.  Additional testing can begin</t>
  </si>
  <si>
    <t xml:space="preserve">Duration </t>
  </si>
  <si>
    <t>Source from Wells report</t>
  </si>
  <si>
    <t>End time</t>
  </si>
  <si>
    <t>At approximately 8:00 p.m., roughly 13 minutes after the interception, Daniel walked the intercepted ball inside</t>
  </si>
  <si>
    <t>Ball starts warming up (because it went inside the locker ro0m</t>
  </si>
  <si>
    <t>Intercepted ball goes into the locker room</t>
  </si>
  <si>
    <t>?</t>
  </si>
  <si>
    <t>"a few minutes later" Riveron takes intercepted ball into the dressing area.  There Wells report leaves open the possibility of additional testing starting as early as this time</t>
  </si>
  <si>
    <t>Testing ended while the first half was "coming to an end"</t>
  </si>
  <si>
    <t>computed</t>
  </si>
  <si>
    <t>It takes 15 seconds to reach the locker room:</t>
  </si>
  <si>
    <t>Information source from Wells report</t>
  </si>
  <si>
    <t>(Estimate from Wells report, working backward from when halftime ended using the above)</t>
  </si>
  <si>
    <t>Estimated Elapsed time since half time</t>
  </si>
  <si>
    <t>Timeline of events after the interception</t>
  </si>
  <si>
    <t>on-field pressure estimate</t>
  </si>
  <si>
    <t>on-field temperature estimate</t>
  </si>
  <si>
    <t>Pressure when Colts measured</t>
  </si>
  <si>
    <t>Colts gauge would read (if it matched the referee's gauge)</t>
  </si>
  <si>
    <t>Pressure to regain</t>
  </si>
  <si>
    <t>could have gone back in the bag as they were getting ready to measure</t>
  </si>
  <si>
    <t>Estimate.  3 minutes most likely per NFL report, about 2 minimum, about for maximum,  but low confidence.  Wide spread in ball pressure suggests the long end of this range or more</t>
  </si>
  <si>
    <t>The last step documented before leaving the locker room at 13.5 minutes was cheking the Colts balls.  Waiting as long as possible helps them re-warm as much as possible -- which was probably a motivation to see if the pressure returned to where they started or to the legal range</t>
  </si>
  <si>
    <t>Work backards, assuming a bit less than the same time per ball as was used earlier: 20 seconds per ball</t>
  </si>
  <si>
    <t>Assume 20 seconds (a bit faster than the Patiots balls were measured, which also provides a start time with 1 minute left indoors)</t>
  </si>
  <si>
    <t>Ball 1</t>
  </si>
  <si>
    <t>Ball 2</t>
  </si>
  <si>
    <t>Ball 3</t>
  </si>
  <si>
    <t>Ball 4</t>
  </si>
  <si>
    <t>Basic timing of half-time events</t>
  </si>
  <si>
    <t>Air temperature (no wet bag to cool football, so it would try to warm up, but there was some rain. Handling would promote warmth but the air would fight that.</t>
  </si>
  <si>
    <t>Balls cooled by the wet bag there in on the field</t>
  </si>
  <si>
    <t>Minutes to test footballs once testing started</t>
  </si>
  <si>
    <t>Middle of 4-to-5 minute range of estimates provided by the NFL</t>
  </si>
  <si>
    <t>First ball tested at T=0, 10 increments of time from beginning to end</t>
  </si>
  <si>
    <t>Next earliest time point digitized on curve dry ball pressure gain curve graph</t>
  </si>
  <si>
    <t xml:space="preserve">Determine temperature rise for balls out of the bag up to the point they were put back into the bag </t>
  </si>
  <si>
    <t>Pressure gain for dry  ball</t>
  </si>
  <si>
    <t>The dry ball makes a better thermometer than the wet ball because there's less leather change</t>
  </si>
  <si>
    <t>Find the closest (below it) time point  that was digitized from the Pats dry ball lab test graphic (Fig 22)</t>
  </si>
  <si>
    <t>Lookup from that table how much pressure was gained to that point</t>
  </si>
  <si>
    <t>Lookup from that table how much additional pressure is gained for each minute after th tpoint</t>
  </si>
  <si>
    <t>Time elapsed after previou digitized point</t>
  </si>
  <si>
    <t>See above</t>
  </si>
  <si>
    <t>Time to look up (minutes balls were out of bag)</t>
  </si>
  <si>
    <t>Pressurewould eventual rise by, given enough time</t>
  </si>
  <si>
    <t>ending pressure gain as % of would-be eventual gain given more time</t>
  </si>
  <si>
    <t>Ball temp when in bag on field, plus rise while out of bag in locker room</t>
  </si>
  <si>
    <t>As explained in theory elsewhere in the book (and in my amicus brief) and also by experiment by Mike Greenway http://www.deflategatedeflated.com/</t>
  </si>
  <si>
    <t>Estimate.  Faction of total insulation value lost due to wet air outside bag.  4 air layers (one on each side of the leather, one on each side of the ball) provide most of the insulation, but not all.  The outside layer is cooled by the evaporation, so most of the insulating value of that layer is lost</t>
  </si>
  <si>
    <t>Ball start temperature (from being inside cold bag on the field)</t>
  </si>
  <si>
    <t>Factor by which wet bag slows warming of 11 footballs before accounting for low surface temperature of bag due to evaporation</t>
  </si>
  <si>
    <t>Final temperature of balls in bag if balls can only warm to bag indoor surface temperature kept cool by the evaporating water at the surface of the wet bag</t>
  </si>
  <si>
    <t>How the bag being very wet on the outside chills the surface of the bag, so that the bag is warming toward a much lower final temperature (as long as it stays wet) than if the bag was dry.  This determines the maximum pressure rise before the bag stops being so wet</t>
  </si>
  <si>
    <t xml:space="preserve">How these factors combined (example using round number).  Suppose that for a dry ball in the open, the pressure was supposed to rise by 10 psi over a period of 25 minutes if the ball were exposed to a 20 degree temperature differece.  Suppose the data shows it gains 20% of that 10 psi in the first minute and a total of 50% of that psi in the first three minutes. </t>
  </si>
  <si>
    <t>If the bag surface is kept cool by the air, so that the bag surface is only 10 degrees warmer than the balls, then full warming would add 5 psi (instead of 10 psi), and 20% warming would add 1 psi (instead of 2 psi withotu the water cooling).</t>
  </si>
  <si>
    <t xml:space="preserve"> If  having them in a bag stretches the time by 3x, then in three minutes the ball only progresses to where it would have been after 1 minute with the ball in the open: 20% of the psi gained (2psi) instead of the 50% (5 psi) that would have been gained.  That that is before taking into account the cooling from evaporation.</t>
  </si>
  <si>
    <t>In that hypothetical example, a ball that would have warmed 5 psi in the open only warms 1 psi in the wet bag.  In other words, surprise!  (not!).  Keeping cold footballs in a cold wet bag keeps them from warming hardly at all compared to spreading them out in the open</t>
  </si>
  <si>
    <t>Exponent Table 1</t>
  </si>
  <si>
    <t>Time per ball</t>
  </si>
  <si>
    <t>Minutes</t>
  </si>
  <si>
    <t>Time above ball was measured</t>
  </si>
  <si>
    <t>Warming time stretch caused by bag</t>
  </si>
  <si>
    <t>Time on the Exponent warming curve (ball in the open) that applies to a ball in a bag</t>
  </si>
  <si>
    <t>Time elapsed ( on warming curve )after previou digitized point</t>
  </si>
  <si>
    <t>Pressure  loss due to expanding leather, sprayed and wiped ball</t>
  </si>
  <si>
    <t>Gas law comparison to Exponent test results</t>
  </si>
  <si>
    <t>Predicted minus the extra leather expansion for one ball wetter than Exponent simulated</t>
  </si>
  <si>
    <t>Start pressure ("wet" ball)</t>
  </si>
  <si>
    <t>Exponent figure 13: actual*1.05-0.2836</t>
  </si>
  <si>
    <t>Exponent table 1</t>
  </si>
  <si>
    <t>Minute</t>
  </si>
  <si>
    <t>minute in test that applies to balls in bag</t>
  </si>
  <si>
    <t>Start time for first ball</t>
  </si>
  <si>
    <t>Football number in question: 10th</t>
  </si>
  <si>
    <t>Temperature Exponent simulated starting the balls at if the ref was right about which gauge was used</t>
  </si>
  <si>
    <t>Exponent page 52</t>
  </si>
  <si>
    <t>Actual temperature was warmer by:</t>
  </si>
  <si>
    <t>Pressure change (end) caused by temperature change at the beginning</t>
  </si>
  <si>
    <t>psi_now/F_now</t>
  </si>
  <si>
    <t>psi_later/F_now</t>
  </si>
  <si>
    <t>1 degree change example (immediate effect)</t>
  </si>
  <si>
    <t>1 degree change at start, effect on end pressure example (baseline)</t>
  </si>
  <si>
    <t>base</t>
  </si>
  <si>
    <t>Gas</t>
  </si>
  <si>
    <t>1 degree change at start, effect on end pressure example (with 1 degree change)</t>
  </si>
  <si>
    <t>How much to change Exponent's result to reflect differences between reality and what Exponent tested.  Also used to convert small temperature changes into small immediate pressure changes and vice versa</t>
  </si>
  <si>
    <t>Convert small starting temperature changes into the resulting ending pressure change after the major drop</t>
  </si>
  <si>
    <t>Huge</t>
  </si>
  <si>
    <t>Large</t>
  </si>
  <si>
    <t>Impact vs. what Exponent said</t>
  </si>
  <si>
    <t>small</t>
  </si>
  <si>
    <t>tiny</t>
  </si>
  <si>
    <t>no dispute</t>
  </si>
  <si>
    <t>tiny (against Pats)</t>
  </si>
  <si>
    <t>large</t>
  </si>
  <si>
    <t>Huge -- Exponent helped hide the fact that the referee used a biased gauge</t>
  </si>
  <si>
    <t>HUGE: Exponent use lower start temp and higher end temp than witness testimony supported</t>
  </si>
  <si>
    <t>HUGE: no dispute on gas law, but Exponent used temperatures contradicted by witness testimony</t>
  </si>
  <si>
    <t>No dispute</t>
  </si>
  <si>
    <t>no dispute: This result was included Exponent simulation (Fig 29,30) and lab experiment data (Fig 21,22).  Exponent just didn't want you to notice and mislead people to think it wasn't there</t>
  </si>
  <si>
    <t>Gauge actually displayed (real Patriots football on game day)</t>
  </si>
  <si>
    <t>End pressure that the gauge the ref said he used would have displayed (if there were no hidden variables not accounted for in this analysis)</t>
  </si>
  <si>
    <t>This is used later to graph the expected pressure rise over time</t>
  </si>
  <si>
    <t>Colts said</t>
  </si>
  <si>
    <t>"approximately 11"</t>
  </si>
  <si>
    <t>Wells page 63</t>
  </si>
  <si>
    <t>The intercepted ball was not tampered with either</t>
  </si>
  <si>
    <t>if dry</t>
  </si>
  <si>
    <t>if wet</t>
  </si>
  <si>
    <t>Add extra rise due to extra warming above.  Note: This result is used to drive the calculations using the "transient curves" (presssure rise over time) to compute expected pressures at different measurement times as the balls warm up</t>
  </si>
  <si>
    <t>Find the closest (below it) time point  that was digitized from the Pats wet ball lab test graphic "transient cure"(Exponent Fig 22)</t>
  </si>
  <si>
    <t>Estimate based on above.  Tiny effect on output since bag temp and ball temp were so close together</t>
  </si>
  <si>
    <t>Temperature of balls going into bag</t>
  </si>
  <si>
    <t>Determine temperature of the bag itself (turns out to have miniscule impact because balls were so close to bag temp, but here's the analyis anyway so as to avoid making an uneducated guess)</t>
  </si>
  <si>
    <t>At this point, the bag had only 3 balls in it (evident from the game-day results).  The reduction in thermal mass changes the time constant for the warming (the pressure rise curve is less stretched out in time compared to a bag full of balls)</t>
  </si>
  <si>
    <t>weight of football (google)</t>
  </si>
  <si>
    <t>weight of wet bag (estimate based on picture at start of 3rd quarter)</t>
  </si>
  <si>
    <t>Wells report</t>
  </si>
  <si>
    <t>above</t>
  </si>
  <si>
    <t>Apparent based on game-day results</t>
  </si>
  <si>
    <t>mass reduction ratio for 3 balls compared to 11</t>
  </si>
  <si>
    <t>most of the temperature difference is between the bag, the air just inside it, the air just outside the balls, and the air just inside the balls), but some will be between the ball and the cooled air outside the bag</t>
  </si>
  <si>
    <t>THE BELOW HAS ONLY A TINY IMPACT</t>
  </si>
  <si>
    <t>Timing of balls out of the bag then put back into the bag</t>
  </si>
  <si>
    <t>Compare the pressure of the lowest ball on game day to what theory predicts</t>
  </si>
  <si>
    <t>Predicted pressure (if measured on the field) (Exponent Figure 21, 22 plus adjustments)</t>
  </si>
  <si>
    <t>What if footballs came out of the bag, warmed a while, then were put back into the bag just before the documented process of taking them out of the bag one by one during testing?</t>
  </si>
  <si>
    <t>The easiest thing to check is what would happen to balls taken out of the bag immediately.  The warming rate is proven directly by Exponent's Figure 22 tests.  Applying that % rate of rise to the actual pressure drop (on game day) to be regained (through warming) shows that 3 of the balls had more pressure than predicted.  Thus basd on exponent data, that makes 3 balls (plus the intercepted ball) that could not possibly have been missing air.  With 4 of 11 balls having no tampering, it's unreasonable to assume that any of the others were tampered with.</t>
  </si>
  <si>
    <t>The main purpose of the below analysis is to prove what the NFL knew and when they knew it, and what information they had but excluded from the report to make it difficult or impossible for the Patriots to prove their innocence until the NFL leaded additional data</t>
  </si>
  <si>
    <t>For proof of above, see the "rise" sheet, rows for footballs 1,6 and 7.  The actual was higher than the prediction (for a ball out of the bag the whole time</t>
  </si>
  <si>
    <t>Calculated in the rise sheet</t>
  </si>
  <si>
    <t>Pressure rise of  3 balls in bag</t>
  </si>
  <si>
    <t>Above divided by (psi change per degree change (about 0.05))</t>
  </si>
  <si>
    <t>Final temp of bag as long as is still wet</t>
  </si>
  <si>
    <t>At the time the 5 footballs that were out were put back in, the bag starts this much cooler than final temp</t>
  </si>
  <si>
    <t>Temperature of bag entering the room</t>
  </si>
  <si>
    <t>See weather section</t>
  </si>
  <si>
    <t>start plus rise</t>
  </si>
  <si>
    <t>wee weather section</t>
  </si>
  <si>
    <t>Multiply pressure difference by about 0.049psi/degree This result is used to calculate and plot the temperature fall of the balls that were out, became warmer than the bag, then were put back in the bag.  The warming rate curve is stretched 50% compared to balls in the open because an air layer separate the air outside the footballs from the bag and the 5 balls that were just put back in the bag</t>
  </si>
  <si>
    <t>ball taken from bag, place on line of scrimmage</t>
  </si>
  <si>
    <t>Pressure rise due to gas law if ball comes up to the air temperature</t>
  </si>
  <si>
    <t>Minutes ball was out of bag</t>
  </si>
  <si>
    <t>% of pressure rise in 5 minutes</t>
  </si>
  <si>
    <t>Pressure at above, Patriots wet</t>
  </si>
  <si>
    <t>Exponent figure 21</t>
  </si>
  <si>
    <t>Exponent figure 21 test description (with renewed pressure drop evident at minute 210)</t>
  </si>
  <si>
    <t>Pressure at t=0 for the sloped line that matches the rate of pressure loss due to humidity</t>
  </si>
  <si>
    <t>Exponent figure 21 as marked up</t>
  </si>
  <si>
    <t>Pressure drop per minute due to humidity</t>
  </si>
  <si>
    <t>psi/min</t>
  </si>
  <si>
    <t>Pressure drop per hour</t>
  </si>
  <si>
    <t>psi/hour</t>
  </si>
  <si>
    <t>Pressure gain for wet ball, due to warming</t>
  </si>
  <si>
    <t>Pressure loss per minute due to continued leather expansion in the moist air</t>
  </si>
  <si>
    <t>Pressure loss due to continued leather expansion</t>
  </si>
  <si>
    <t>End pressure when measured at half time predicted (if an accurage gauge is used to meausure it at the time)</t>
  </si>
  <si>
    <t>Predicted ball pressure if the ball gained 2x the moisture as Exponent simulated</t>
  </si>
  <si>
    <t>What extra % (due to moisture) this particular ball appears to have lost due leather expanion compared to the spray&amp;wipe  experiment by Exponent</t>
  </si>
  <si>
    <t>Reverse lookup</t>
  </si>
  <si>
    <t>Patriots wet reverse lookup</t>
  </si>
  <si>
    <t>Next lower digitized curve point</t>
  </si>
  <si>
    <t>% gain at digitized point</t>
  </si>
  <si>
    <t>% gain per mininute at digitized point</t>
  </si>
  <si>
    <t>Minutes after lower digitized curve point</t>
  </si>
  <si>
    <t>Logo reading (gauge ref said he used)</t>
  </si>
  <si>
    <t>Wells repports the 11.75 as the higher reading on the intercepted ball.  Hearing testimony shows this was the ref's gauge</t>
  </si>
  <si>
    <t>See timeline to when the first measurements not using the Patriots gauge were made</t>
  </si>
  <si>
    <t>Logo gauge (Reported pressure + 0.2836)/1.05) (See Exponent Figure 13)</t>
  </si>
  <si>
    <t>Lookup on digitized curve from Exponent Figure 21</t>
  </si>
  <si>
    <t>units</t>
  </si>
  <si>
    <t>psi gained</t>
  </si>
  <si>
    <t>Psi lost per use of gauge</t>
  </si>
  <si>
    <t>number of times gauge applied to ball after Colts tested it</t>
  </si>
  <si>
    <t>Exponent p. 36: "Non-Logo Gauge causes a football to lose approximately 0.01 psig per measurement"</t>
  </si>
  <si>
    <t>See analysis of intercepted ball (reflecting slight pressure rise between interception and Colts measuring it)</t>
  </si>
  <si>
    <t>Starting pressure (when Colts measured it) must have been</t>
  </si>
  <si>
    <t>Pressure lost due to repeated gauge insertion</t>
  </si>
  <si>
    <t>Wells report pages 63-4 (three measurements with Patriots gauge, then another three -- the last of which was 11.75)</t>
  </si>
  <si>
    <t>Exponent Figure 13, for known actual pressure, solve for what pressure the logo guage would read: actual*1.05-0.2836</t>
  </si>
  <si>
    <t>Math check: Apply Exponent Figure 13: actual = (logo +0.2836)/1.05</t>
  </si>
  <si>
    <t>Lowest Colts gauge could actually have read</t>
  </si>
  <si>
    <t>Ref's gauge (the one that over-read) would read</t>
  </si>
  <si>
    <t>Note: The game-day data reflects that the intercepted bal was "wet" -- see analysis, or just know it was used in play and exposed to rain (without being wiped off every minute) after the Colts intercepted it</t>
  </si>
  <si>
    <t>Therefore the data shows the gauge the Colts used agreed with the gauge the referee said was used (the one that over-reads), rather than the one Wells claims was used (which reads much more accurately)</t>
  </si>
  <si>
    <t>Wells sought to maximize the justification to support cheating.   If the Colts had said under 11, Wells would have said that.  If Colts had said 11.0 or 11.05, Wells would have said "11 psi".  Therefore if the Colts gave a number it was at least 11.1   Alternatively, the Colts could actually have told investigators "11".  If it was under 11, the Colts would have said so, since they were trying to make a point that the Patriots seemed to have cheated</t>
  </si>
  <si>
    <t>Wells "approximately 11 psi" (Wells p. 63).  See also below</t>
  </si>
  <si>
    <t>The gauge the ref said he didn't use would have read</t>
  </si>
  <si>
    <t>Exponent Figure 13, for known actual pressure, solve for what pressure the logo guage would read: actual*1.015-0.1444</t>
  </si>
  <si>
    <t>Random error that would be necessary to create a false appearance of the colts gauge over-reading like the referee's gauge</t>
  </si>
  <si>
    <t>Could the intercepted ball have been more "wet" than others? Doesn't matter: nearly all the effect of incremental changes in wetness are already reflected in the pressure when measured by the NFL, so the amount of pressure the ball had gained before measurement is essentially the same.</t>
  </si>
  <si>
    <t>Exponent Figure 7</t>
  </si>
  <si>
    <t>Number of standard deviations away from the average that would be required for randomness to explain the result</t>
  </si>
  <si>
    <t>% of times this much error happens by chance</t>
  </si>
  <si>
    <t xml:space="preserve">% of the time the error would be in the other direction </t>
  </si>
  <si>
    <t>% of time the error would be in the direction required to falsely create the impression the Colts gauge over-read</t>
  </si>
  <si>
    <t>Odds of such an error: roughly 1 out of:</t>
  </si>
  <si>
    <t>BallNum</t>
  </si>
  <si>
    <t>Non-logo gauge</t>
  </si>
  <si>
    <t>Logo gauge (over-reads, ref said he used)(</t>
  </si>
  <si>
    <t>ball number</t>
  </si>
  <si>
    <t>Average difference</t>
  </si>
  <si>
    <t>Colts (started several minutes later)</t>
  </si>
  <si>
    <t>Average difference between high and low (carried from Patriots graph)</t>
  </si>
  <si>
    <t>What gauge would have read if the average bias stayed constant</t>
  </si>
  <si>
    <t>Strong evidence that gauge has a shift, and suggestive that it's the non-logo guage shifting down</t>
  </si>
  <si>
    <t>It's not statisitcal proof of that</t>
  </si>
  <si>
    <t>But Exponent would have known which gauge had the shift</t>
  </si>
  <si>
    <t>Exponent didn't want you to know which gauge it was</t>
  </si>
  <si>
    <t xml:space="preserve">If you thought this was a quirk, and guage that shifted was the over-reading gauge, then that would </t>
  </si>
  <si>
    <t>make it harder to explain the lowest pressure ball (measured late, after the shift)</t>
  </si>
  <si>
    <t>Exponent wanted you think anything that makes the Patriots look more guilty</t>
  </si>
  <si>
    <t>Exponent knew which gauge it was, wanted to hide it from you, thus they knew it was the non-over-reading gauge that had the shift.</t>
  </si>
  <si>
    <t>Which of the two ranges did Exponent use to create their calibration curve?</t>
  </si>
  <si>
    <t>Another motive to hide which guage had the quirk: the ref would likely have noticed, causing him to be less likely to use the inconsistent (but in hindsight more accurate) gauge.</t>
  </si>
  <si>
    <t>The ref would also be less likely to observe consistency for both the Patriot footballs and the Colts footballs</t>
  </si>
  <si>
    <t>Using the lower range means more over-reading, meaning less air in the balls to begin with, thus helping the Patriots</t>
  </si>
  <si>
    <t>They checked the standard deviation (extensive testing needed) at 11 psi actual pressure</t>
  </si>
  <si>
    <t xml:space="preserve">Thus the purpose of their standard deviation experiment was to see if the intercepted ball </t>
  </si>
  <si>
    <t>That about the pressure the Colts reported, but also about the pressure the non-logo guage was reporting at half time -- can't prove intent</t>
  </si>
  <si>
    <t>We know it wasn't to determine the pressure in the footballs when the ref checked them</t>
  </si>
  <si>
    <t>If so, then first measurement with non-logo could over read.  Thus less addiitional variation required for Colts guage to have over-read just that once even though it doesn't normally over-read.</t>
  </si>
  <si>
    <t xml:space="preserve">Either way, if the colts gauge over read that one time on game day, then </t>
  </si>
  <si>
    <t>Intercepted incl gauging loss</t>
  </si>
  <si>
    <t>Predicted pressure of non-tampered intercepted ball, on field</t>
  </si>
  <si>
    <t>time</t>
  </si>
  <si>
    <t>Visualize the data</t>
  </si>
  <si>
    <t>To see full descriptions in below cell, refer to the graphic lower down</t>
  </si>
  <si>
    <t>Same as above entry, only using the pressure rise rate for a wet ball intead of a dry ball</t>
  </si>
  <si>
    <t>Game day result using the gauge the referee said he used (which over-reads similarly to the Colts and Patiots gauges)</t>
  </si>
  <si>
    <t xml:space="preserve"> Wells quotes Colts as saying "approximately 11".  Colts unlikely to say "hey ref, this ball has approximately 11 psi."  They would have said "under 11" if their gauge said so, or 11, or 11.1 perhaps, which Wells would have called "approximately 11."</t>
  </si>
  <si>
    <t>Predicted psi of intercepted (wet) ball AFTER the Colts measured it, as it would  appear on the Colts gauge, presuming they measured 11.05.  Right-most point includes 0.06 psi loss due to this being the sixth time the NFL put a gauge in it</t>
  </si>
  <si>
    <t>Right most point: Game-day result of more accurate gauge (ref said he did NOT use)  (Avg 11.45, 11.35).  Left point calcuated to back out the pressure rise due to warming, backing out the pressure loss from interting the guage 4 or 5 times (average 4.5)</t>
  </si>
  <si>
    <t>rise (psi)</t>
  </si>
  <si>
    <t>time (minutes) (see timeline of events)</t>
  </si>
  <si>
    <t>Pressure claimed by over-reading gauge (psi) (see rise calculations tab)</t>
  </si>
  <si>
    <t>Intercepted, first chance for NFL to measure (using Patriots' gauge)</t>
  </si>
  <si>
    <t>Predicted pressure (no gauge bias)</t>
  </si>
  <si>
    <t>Start pressure (no gauge bias) (psi)</t>
  </si>
  <si>
    <t>time into curve (time since inside)/(time factor)</t>
  </si>
  <si>
    <t>Prediction, dry footballs in bag</t>
  </si>
  <si>
    <t>Prediction: Colts dry, out of bag</t>
  </si>
  <si>
    <t>Prediction Colts wet, out of bag</t>
  </si>
  <si>
    <t>Prediction, moistened footballs in bag</t>
  </si>
  <si>
    <t>Colts wet in bag</t>
  </si>
  <si>
    <t>Intercepted, first chance of using ref's gauge</t>
  </si>
  <si>
    <t>Ball came inside</t>
  </si>
  <si>
    <t>Intercepted rise (wet) during locker room period</t>
  </si>
  <si>
    <t>Reported by Colts gauge</t>
  </si>
  <si>
    <t>i</t>
  </si>
  <si>
    <t>The report makes it appear 11.75 could have been measured early, in addition to the 11.45 and 11.35 mentioned in the report.  But the gauges are too consistent to vary from 11.35 to 11.75 on the same ball at the same time</t>
  </si>
  <si>
    <t>Non-tampered "wet" ball (or ball deflated by the amount the gauges disagree by), calculated from Exponent data after adusting for correct starting temperature</t>
  </si>
  <si>
    <t>The referee's over-reading gauge (the one the referee said he used)</t>
  </si>
  <si>
    <t>The referee's "accurate" gauge</t>
  </si>
  <si>
    <t>11 in (dry, no humidity)</t>
  </si>
  <si>
    <t>Continued loss/minute (moist air)</t>
  </si>
  <si>
    <t>3 dry, kept in bag</t>
  </si>
  <si>
    <t>3 wet, kept in bag</t>
  </si>
  <si>
    <t>3 dry, kept in bag, and air not humid</t>
  </si>
  <si>
    <t>11 dry, kept in bag, and air not humid</t>
  </si>
  <si>
    <t>11 wet, kept in bag</t>
  </si>
  <si>
    <t>11 dry, kept in bag</t>
  </si>
  <si>
    <t>5 dry out, then in bag</t>
  </si>
  <si>
    <t>5 wet out, then in bag</t>
  </si>
  <si>
    <t>Patriots gauge (approximate timing and approximate reading).  The lowest one is definitely happened (at approximately that time), the higher ones and their timing are extremely likely but not proven</t>
  </si>
  <si>
    <t>Pressure loss in lab test</t>
  </si>
  <si>
    <t xml:space="preserve">Pressure drop caused by balls starting warmer than simulation with logo gauge </t>
  </si>
  <si>
    <t>Temp in lab bench test</t>
  </si>
  <si>
    <t>Game day was warmer</t>
  </si>
  <si>
    <t>End pressure loss caused by above</t>
  </si>
  <si>
    <t>Illustration of the impact of the NFL/Exponent lab bench test not using the right starting temperature</t>
  </si>
  <si>
    <t>Actual pressure = (reported pressure + 0.2836)/1.05) (See Exponent Figure 13)</t>
  </si>
  <si>
    <t>Units (psi)</t>
  </si>
  <si>
    <t>What if Exponent tested at Stadium elevation and used lower ball pressure (due to ref guage bias)</t>
  </si>
  <si>
    <t>Exponent Figure 21, 22.  Note: coincidentaly, the same result would apply had Exponent tested using the above starting pressure at the elevation of the stadium (see gas law tab)</t>
  </si>
  <si>
    <t>Additional pressure loss because game-balls started warmer on game day than in the lab test</t>
  </si>
  <si>
    <t>Ending pressure</t>
  </si>
  <si>
    <t>Pressure Colts guage would have reported</t>
  </si>
  <si>
    <t>Reported pressure = Actual*1.05 -0.2836  (based on Figure 13)</t>
  </si>
  <si>
    <t>Actual pressure reported by Colts</t>
  </si>
  <si>
    <t>Subtract losses from starting pressure</t>
  </si>
  <si>
    <t>Wells report p. 63</t>
  </si>
  <si>
    <t>Pressure loss, wet ball</t>
  </si>
  <si>
    <t>3 dry in no humidity</t>
  </si>
  <si>
    <t>3 in the whole time extra wet</t>
  </si>
  <si>
    <t>11 in (wet) extra wet</t>
  </si>
  <si>
    <t>Inserting gauge lowers pressure</t>
  </si>
  <si>
    <t>Pressures indicated by Wells report, with range of times they could have been measured</t>
  </si>
  <si>
    <t>Pressure rise per minute</t>
  </si>
  <si>
    <t>psi/minute</t>
  </si>
  <si>
    <t>Time from first reading of "accurate" to trying the over-reading gauge</t>
  </si>
  <si>
    <t>Difference between gauges</t>
  </si>
  <si>
    <t>Work backwards to what the real pressure was when the Colts measured</t>
  </si>
  <si>
    <t>Non-logo over-reads by</t>
  </si>
  <si>
    <t>Ref's gauges</t>
  </si>
  <si>
    <t>Show ref's gauges</t>
  </si>
  <si>
    <t>Ref</t>
  </si>
  <si>
    <t>Exponent Fig. 13, Actual = (Logo +0.2836)/1.05</t>
  </si>
  <si>
    <t>First reading Non-Logo ("accurate") gauge reading</t>
  </si>
  <si>
    <t>2nd Non-Logo ("accurate") gauge reading</t>
  </si>
  <si>
    <t>Non-logo (over-reading gauge used by the ref) reading</t>
  </si>
  <si>
    <t>Wells page 70</t>
  </si>
  <si>
    <t>Wells Page 70</t>
  </si>
  <si>
    <t>seconds</t>
  </si>
  <si>
    <t>Above, expressed in seconds</t>
  </si>
  <si>
    <t>Time between making last reading using the "accurate" gauge and using the over-reading gauge (if the calibration curve was based on the lower-reading)</t>
  </si>
  <si>
    <t>above * 60</t>
  </si>
  <si>
    <t>If the gauge was calibrated based on the lower reading, then Riveron waited about 2.5 minutes between trying one ref gauge and the other.  There would be no reason to wait so long</t>
  </si>
  <si>
    <t>Exponent Figure 13: Actual = (Non-logo +0.1444)/1.015</t>
  </si>
  <si>
    <t>Therefore the "algebra" was done correctly -- no tricks up the sleeve there!</t>
  </si>
  <si>
    <t>Exponent warming curve data, wet Patriots ball, from minute 8 to minute 9 (Exponent Figure 22), adjusted for the actual game-day pressure to regain (larger due to the larger temperature difference)</t>
  </si>
  <si>
    <t>Check the algebra: use Exponent's formula to calculate the actual pressure using the output of the Non-Logo gauge</t>
  </si>
  <si>
    <t>If the calibration curve was based on the higher reading, then Riveron delayed about 45 seconds between making the first reading and making the final reading.   The second would be 22 seconds after the first, the third would be 22 seconds after that.  At halftime people took 12 seconds per reading (including dictating the numbers to someone who wrote them down, including handling the ball to another person.  It takes only a few seconds to stick a gauge in a football and check the reading.  Therefore it was the high reading Exponent used for their calibration, not the average, and not the low reading</t>
  </si>
  <si>
    <t>half-way in-between</t>
  </si>
  <si>
    <t>Apply algebra to Exponent Fig 13: Result: Non-logo = Actual*1.015-0.1444</t>
  </si>
  <si>
    <t>Non-Logo gauge minus Logo gauge</t>
  </si>
  <si>
    <t>actual w/o split pers</t>
  </si>
  <si>
    <t>higher start temp impact</t>
  </si>
  <si>
    <t>gauge difference impact</t>
  </si>
  <si>
    <t>Exponent Figure 14 shows 3 degrees internal temperature drop (out of eventual 20) during the first 2.25 minutes after the outside air temp dropped</t>
  </si>
  <si>
    <t xml:space="preserve">Google elevation of phoenix.  Lab was in Phoenix: https://www.nytimes.com/2016/09/25/sports/football/deflategate-new-england-patriots-nfl-science.html?_r=0 </t>
  </si>
  <si>
    <t>Dry, out of bag</t>
  </si>
  <si>
    <t>Wet, out of bag</t>
  </si>
  <si>
    <t>above start plus 460</t>
  </si>
  <si>
    <t>above ending plus 460</t>
  </si>
  <si>
    <t>Precisely handle gas law, cooling due to wet bag, and pressure gain</t>
  </si>
  <si>
    <t>Precisely handle gas law, and quantify cooling by wet bag</t>
  </si>
  <si>
    <t xml:space="preserve">tiny (against Patriots) </t>
  </si>
  <si>
    <t>Leaked information + data</t>
  </si>
  <si>
    <t>Pressure drop due to leather expantion due to humidity (use for "dry" ball)</t>
  </si>
  <si>
    <t>Pressure drop leather expansion due to humidity plus wetness of leather (use for "wet" ball)</t>
  </si>
  <si>
    <t>Total pressure to later re-gain (dry)</t>
  </si>
  <si>
    <t>Total pressure to later re-gain (wet)</t>
  </si>
  <si>
    <t>Applied to the % rate-of-pressure rise data to predict future pressure as the ball warms up</t>
  </si>
  <si>
    <t>Same as above</t>
  </si>
  <si>
    <t>Start pressure minus end pressure</t>
  </si>
  <si>
    <t>Patriots Fig 21</t>
  </si>
  <si>
    <t>Colts Fig 21</t>
  </si>
  <si>
    <t>row</t>
  </si>
  <si>
    <t>Allowance for psi drop in "wet" ball caused by evaporation</t>
  </si>
  <si>
    <t>See discussion</t>
  </si>
  <si>
    <t>Estimate (bag very wet, water evaporating all over surface).</t>
  </si>
  <si>
    <t>Fraction of total future gain gained since start</t>
  </si>
  <si>
    <t>Not used</t>
  </si>
  <si>
    <t>not used</t>
  </si>
  <si>
    <t>Temp of bag when the 5 balls were put back in</t>
  </si>
  <si>
    <t>Riveron and Daniels start test the intercepted ball  with Patriots gauge</t>
  </si>
  <si>
    <r>
      <t>Tested the ball 3 times before the game balls came in (</t>
    </r>
    <r>
      <rPr>
        <b/>
        <sz val="11"/>
        <color theme="1"/>
        <rFont val="Calibri"/>
        <family val="2"/>
        <scheme val="minor"/>
      </rPr>
      <t>Wells doesn't say how long this lasted</t>
    </r>
    <r>
      <rPr>
        <sz val="11"/>
        <color theme="1"/>
        <rFont val="Calibri"/>
        <family val="2"/>
        <scheme val="minor"/>
      </rPr>
      <t>) or how many of those were made immediately.  All below 12 psi</t>
    </r>
  </si>
  <si>
    <t>Actual (psi)</t>
  </si>
  <si>
    <t>Cicks below 11 psi</t>
  </si>
  <si>
    <t>Blue (G42) and Gray (G45)</t>
  </si>
  <si>
    <t>Non-Logo + black (G48)</t>
  </si>
  <si>
    <t>Light blue (G50)</t>
  </si>
  <si>
    <t>Orange (G43)</t>
  </si>
  <si>
    <t>Light green (G41)</t>
  </si>
  <si>
    <t>Red (G49) and Green (G44)</t>
  </si>
  <si>
    <t>Clicks per 1 psi</t>
  </si>
  <si>
    <t>over-read (psi)</t>
  </si>
  <si>
    <t>Gauge(s) read out</t>
  </si>
  <si>
    <t>Gauge calibration data</t>
  </si>
  <si>
    <t>Exponnt says 10.5 to 13.5 didn’t cause any measurable stretching at all</t>
  </si>
  <si>
    <t xml:space="preserve">In cooling systems, the purpose of the air flow is to carry away moisture, so the heat dissipation rate can be faster.  </t>
  </si>
  <si>
    <t>Weather data and the most weather-dependent calculations</t>
  </si>
  <si>
    <t>Go to</t>
  </si>
  <si>
    <t>Adjust any pressure for 1 degree temperature change</t>
  </si>
  <si>
    <t>Adjust any pressure for 1 degree temperature change (either now or later after a additional much larger drop)</t>
  </si>
  <si>
    <t>Gas law calculations for specific scenarios</t>
  </si>
  <si>
    <t>Exponent lab test, Patriots ball</t>
  </si>
  <si>
    <t>Source of data</t>
  </si>
  <si>
    <t>Exponent lab test, Colts</t>
  </si>
  <si>
    <t>If the Exponent experiment were at the stadium (higher outside air pressure)</t>
  </si>
  <si>
    <t>Effect of temperture rise from when referee checked to if balls fully warmed</t>
  </si>
  <si>
    <t>Exp. Fig 21 warming from start to eventual equilibriuim, Patriots</t>
  </si>
  <si>
    <t>Same as at left, only for the Colts</t>
  </si>
  <si>
    <t>The first few rows re-ordered to make a table that might go into the book</t>
  </si>
  <si>
    <t>Basic data needed to apply the gas law</t>
  </si>
  <si>
    <t>A table of some key figure that might be useful in the book</t>
  </si>
  <si>
    <t>What if Exponent had instead done their "simulation" with Logo with the right start temp</t>
  </si>
  <si>
    <t>Non-logo simulation (baseline)</t>
  </si>
  <si>
    <t>What if Exponent had instead done their "simulation" with Non-Logo with the right start temp</t>
  </si>
  <si>
    <t>Amount by which Exponent's lab under-estimated game-day pressure drop because Exponent's lab was at higher elevation tham the stadium</t>
  </si>
  <si>
    <t>Using the gas law data to calculate the impact of leather stretching in Exponent's tests</t>
  </si>
  <si>
    <t>Calculate rate that the pressure drops during the time the ball is exposed to cool, damp air</t>
  </si>
  <si>
    <t>Minute mark of the test at which temperature dropped from 50 to 48 outside the ball</t>
  </si>
  <si>
    <t>Evidence that in drier air the footballs don't pick up much moisture</t>
  </si>
  <si>
    <t>How much the bag slows warming: How the balls being in a bag stretches the time factor required to warm up, compared to a ball not in a bag as measured by Exponent in Figure 21 and 22</t>
  </si>
  <si>
    <t>Calculations to predict pressure of balls removed from wet bag then put back in later</t>
  </si>
  <si>
    <t>Unexplained pressure drop if Exponent used the right amount of moisture and this ball had average exposure to moisture and was an average ball</t>
  </si>
  <si>
    <t xml:space="preserve">This is the only football that had less pressure than it should have.  The the Patiots deflate only one football (rather than all 11), and deflate it by only 0.09 psi </t>
  </si>
  <si>
    <t>Some data points to aid in showing that the basic Exponent tests would have suggested innocence if they used the right gauge and the right temperatures</t>
  </si>
  <si>
    <t>Applying the gas law in specific scenarios</t>
  </si>
  <si>
    <t>Using gas law to prove leather stretched in Exponent's tests</t>
  </si>
  <si>
    <t>Index to data to know what happened in Deflategate</t>
  </si>
  <si>
    <t>Key input data for using the gas law</t>
  </si>
  <si>
    <t>Link</t>
  </si>
  <si>
    <t>Topic</t>
  </si>
  <si>
    <t>Timimg of events during half time</t>
  </si>
  <si>
    <t>Index</t>
  </si>
  <si>
    <t>After going to a topic, you can return here by clicking the link back to "index"</t>
  </si>
  <si>
    <t>The intercepted football was not deflated</t>
  </si>
  <si>
    <t>The lowest-pressure ball was likely fully explained by the data</t>
  </si>
  <si>
    <t>Ball comparisons</t>
  </si>
  <si>
    <t>Comparing all ball pressures to what theory predicts</t>
  </si>
  <si>
    <t>The below topics are not necessary to prove the Patriot's innocent, but help show how untenable the NFL's position is</t>
  </si>
  <si>
    <t>The impacts of weather on footballs:</t>
  </si>
  <si>
    <t>Timing effects of weather on footballs:</t>
  </si>
  <si>
    <t>Warming Curves (pressure changes over time, a football in the open)</t>
  </si>
  <si>
    <t>Basic data about Exponent warming tests</t>
  </si>
  <si>
    <t>Patriots curve for "wet" footballs</t>
  </si>
  <si>
    <t>Patriots curve for dry footballs</t>
  </si>
  <si>
    <t>Colts  curve for "wet" footballs</t>
  </si>
  <si>
    <t>Colts  curve for dry footballs</t>
  </si>
  <si>
    <t>Basic info</t>
  </si>
  <si>
    <t>Pats. wet</t>
  </si>
  <si>
    <t>Pats. dry</t>
  </si>
  <si>
    <t>How pressure changes over time:</t>
  </si>
  <si>
    <t>See right</t>
  </si>
  <si>
    <t>Pressure for balls taken out of bag and then put back in</t>
  </si>
  <si>
    <t>Temperature when Colts checked (if the ball was outside when checked)</t>
  </si>
  <si>
    <t>Simple (but incomplete) way to show that the intercepted football was fine based on the Colts gauge</t>
  </si>
  <si>
    <t>Using pressure predictions starting pre-game to show no tampering on the intercepted ball based on the Colts gauge</t>
  </si>
  <si>
    <t>How the bag slows warming</t>
  </si>
  <si>
    <t>Rate leather keeps expanding while exposed to humid air (very minor impact during half time)</t>
  </si>
  <si>
    <t>Link to time curve tables, Patriot wet example</t>
  </si>
  <si>
    <t>Below 3 columns looked up from time curve tables</t>
  </si>
  <si>
    <t>Pressures for each football theory and actual</t>
  </si>
  <si>
    <t>Timeline of events related to the intercepted football</t>
  </si>
  <si>
    <t>Data to set up the graph is at the left, but the math to get all those numbers</t>
  </si>
  <si>
    <t xml:space="preserve">is in the each ball vs. theory tab </t>
  </si>
  <si>
    <t>Graph of Patriotsl balls vs. thoery</t>
  </si>
  <si>
    <t>Data and graphics showing the split-personality of the Non-Logo gauge (starts high, then suddenly shifts low)</t>
  </si>
  <si>
    <t>Split personality of the Non-Logo gauge</t>
  </si>
  <si>
    <t>Verbal evidence: Exponent says this guage was accurate in the sense of being closer to the correct pressure</t>
  </si>
  <si>
    <t>If it wasn't iconsistent, they would just say that is is more accurate without the extra qualifier</t>
  </si>
  <si>
    <t>OBSOLETE</t>
  </si>
  <si>
    <t>Rise to temp of outside of bag at half time, Patriots wet</t>
  </si>
  <si>
    <t>Rise to temp of outside of  bag at halftime Colts wet</t>
  </si>
  <si>
    <t>Colts dry in bag</t>
  </si>
  <si>
    <t>Prediction, Colts dry in wet bag</t>
  </si>
  <si>
    <t>Colts wet in wet bag</t>
  </si>
  <si>
    <t>Below: gain between minute 4 and minute 8 (used to figure out what the Patriots' gauge said when first used on the intercepted football</t>
  </si>
  <si>
    <t>current minute</t>
  </si>
  <si>
    <t>Prv. Min.</t>
  </si>
  <si>
    <t>Info about prev. minute</t>
  </si>
  <si>
    <t>Fraction gained</t>
  </si>
  <si>
    <t>difference</t>
  </si>
  <si>
    <t>Pressure gained by intercepted ball between first NFL measurement and next NFL measurement</t>
  </si>
  <si>
    <t>Formula is not obsolte, but the rest is</t>
  </si>
  <si>
    <t>Exp fig 13 +algebra: Logo = Master*1.05 - 0.2836 psi</t>
  </si>
  <si>
    <t>11.42 psi known from the ref's guage</t>
  </si>
  <si>
    <t>Referee's higher gauge says</t>
  </si>
  <si>
    <t>Note: Patriots gauge reads a bit higher</t>
  </si>
  <si>
    <t>dry-wet</t>
  </si>
  <si>
    <r>
      <rPr>
        <b/>
        <sz val="11"/>
        <color theme="1"/>
        <rFont val="Calibri"/>
        <family val="2"/>
        <scheme val="minor"/>
      </rPr>
      <t>Graph</t>
    </r>
    <r>
      <rPr>
        <sz val="11"/>
        <color theme="1"/>
        <rFont val="Calibri"/>
        <family val="2"/>
        <scheme val="minor"/>
      </rPr>
      <t xml:space="preserve"> comparing theory to actual for the Patriots footballs</t>
    </r>
  </si>
  <si>
    <r>
      <rPr>
        <b/>
        <sz val="11"/>
        <color theme="1"/>
        <rFont val="Calibri"/>
        <family val="2"/>
        <scheme val="minor"/>
      </rPr>
      <t xml:space="preserve">Graph </t>
    </r>
    <r>
      <rPr>
        <sz val="11"/>
        <color theme="1"/>
        <rFont val="Calibri"/>
        <family val="2"/>
        <scheme val="minor"/>
      </rPr>
      <t>comparing theory to actual for the Colts footballs</t>
    </r>
  </si>
  <si>
    <t>Copyright 2017, Robert F. Young</t>
  </si>
  <si>
    <t>Simple explanation of lowest ball pressure</t>
  </si>
  <si>
    <t>Referee's gauge says</t>
  </si>
  <si>
    <t>source</t>
  </si>
  <si>
    <t>Indoor temperature</t>
  </si>
  <si>
    <t>Wells Report, ignoring the possibily the balls were briefly in the shower area</t>
  </si>
  <si>
    <t>Temperature of wet object  on field</t>
  </si>
  <si>
    <t>Look up "web bulb" temperature for 48 degree air, 77% relative humidity, 29.43 inches of mercury (see main sheet for details)</t>
  </si>
  <si>
    <t>See gas law sheet for details</t>
  </si>
  <si>
    <t>Difference between pressure outside the ball and inside the ball</t>
  </si>
  <si>
    <t>Add the extra pressure inside the ball to the pressure outside the ball</t>
  </si>
  <si>
    <t>Absolute air pressure to start</t>
  </si>
  <si>
    <t>Add 460 to degrees F to gete the absolute temperature (in degress Rankine)</t>
  </si>
  <si>
    <t>Absulute starting pressure times ending temperature divided by starting temperature</t>
  </si>
  <si>
    <t>Apparent ball pressure at end</t>
  </si>
  <si>
    <t>Gauge will say</t>
  </si>
  <si>
    <t>Volume increase factor</t>
  </si>
  <si>
    <t>Leather stretch factor, squared</t>
  </si>
  <si>
    <t>Leather stretch factor</t>
  </si>
  <si>
    <t>Assumption, for example</t>
  </si>
  <si>
    <t>Absolute pressure after leather stretches</t>
  </si>
  <si>
    <t>Divide pressure by volume increase factor</t>
  </si>
  <si>
    <t>Absolute temperature at start</t>
  </si>
  <si>
    <t>Absolute temperature at end</t>
  </si>
  <si>
    <t>Absolute pressure after the temperature drops</t>
  </si>
  <si>
    <t>Subtract the outide air pressure</t>
  </si>
  <si>
    <t>Referee testimony in Wells Report</t>
  </si>
  <si>
    <t>Based on Exponent Fig 13: Logo gauge reading = (actual pressure)*1.05-0.2836 psi</t>
  </si>
  <si>
    <t>The referee said he used the "Logo" gauge.  Exponent Fig 13: Actual = ((reading of referee's "Logo" gauge)+0.2836)/1.05</t>
  </si>
  <si>
    <t>PSI gained is the % difference times total gained</t>
  </si>
  <si>
    <t>Data used to help proof the referee was right about having used the over-reading gauge.</t>
  </si>
  <si>
    <t>Logo gauge reading (the final of the three readings by Aberto Riveron, as clarified during the appeal hearing)</t>
  </si>
  <si>
    <t>This next section looks at the timing between using the referee gauges and the Patriots' gauge, helping to re-affirm the split personality issue</t>
  </si>
  <si>
    <t>Standard deviation of the least-consistent gauges (excluding the split peronality issue)</t>
  </si>
  <si>
    <t>http://www.statisticshowto.com/percentile-z-score/, enter z=7.9, read the "single-tailed" percentile</t>
  </si>
  <si>
    <t>This cell does not auto-calculate!!!!.  The calculator only goes up to a z score of 6.   With a  score of 7, the odds are zero for all practical purposes</t>
  </si>
  <si>
    <t>Div by zero means one out of infinity -- meaning  it's impossible for all practical purposes</t>
  </si>
  <si>
    <t>The book covers some additional nuance: What if the gauge was indoors, what about warm hands warming the ball, could the Colts have had two gauges that disagree with each other</t>
  </si>
  <si>
    <t>THIS PAGE OBSOLETE -- It reflects some earlier investigations.</t>
  </si>
  <si>
    <t>Example calculations for the lowest ball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</si>
</sst>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0%"/>
    <numFmt numFmtId="165" formatCode="0.000"/>
    <numFmt numFmtId="166" formatCode="_(* #,##0.0_);_(* \(#,##0.0\);_(* &quot;-&quot;??_);_(@_)"/>
    <numFmt numFmtId="167" formatCode="_(* #,##0.000_);_(* \(#,##0.000\);_(* &quot;-&quot;??_);_(@_)"/>
    <numFmt numFmtId="168" formatCode="_(* #,##0_);_(* \(#,##0\);_(* &quot;-&quot;??_);_(@_)"/>
    <numFmt numFmtId="169" formatCode="_(* #,##0.0000_);_(* \(#,##0.0000\);_(* &quot;-&quot;??_);_(@_)"/>
    <numFmt numFmtId="170" formatCode="0.0"/>
    <numFmt numFmtId="171" formatCode="_(* #,##0.0000000000_);_(* \(#,##0.0000000000\);_(* &quot;-&quot;??_);_(@_)"/>
    <numFmt numFmtId="172" formatCode="_(* #,##0.00000000000_);_(* \(#,##0.00000000000\);_(* &quot;-&quot;??_);_(@_)"/>
    <numFmt numFmtId="173" formatCode="_(* #,##0.00000000000000000000000000000_);_(* \(#,##0.00000000000000000000000000000\);_(* &quot;-&quot;??_);_(@_)"/>
    <numFmt numFmtId="174" formatCode="_(* #,##0.000000_);_(* \(#,##0.000000\);_(* &quot;-&quot;??_);_(@_)"/>
    <numFmt numFmtId="175" formatCode="_(* #,##0.000000000000000000000_);_(* \(#,##0.000000000000000000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cellStyleXfs>
  <cellXfs count="227">
    <xf numFmtId="0" fontId="0" fillId="0" borderId="0" xfId="0"/>
    <xf numFmtId="9" fontId="0" fillId="0" borderId="0" xfId="1" applyFont="1"/>
    <xf numFmtId="0" fontId="0" fillId="0" borderId="1" xfId="0" applyBorder="1"/>
    <xf numFmtId="0" fontId="0" fillId="0" borderId="1" xfId="0" applyFill="1" applyBorder="1"/>
    <xf numFmtId="0" fontId="0" fillId="0" borderId="0" xfId="0" applyAlignment="1">
      <alignment wrapText="1"/>
    </xf>
    <xf numFmtId="0" fontId="0" fillId="0" borderId="1" xfId="0" applyBorder="1" applyAlignment="1">
      <alignment wrapText="1"/>
    </xf>
    <xf numFmtId="0" fontId="2" fillId="0" borderId="0" xfId="0" applyFont="1"/>
    <xf numFmtId="0" fontId="0" fillId="0" borderId="0" xfId="0" applyAlignment="1"/>
    <xf numFmtId="164" fontId="0" fillId="0" borderId="0" xfId="1" applyNumberFormat="1" applyFont="1"/>
    <xf numFmtId="10" fontId="0" fillId="0" borderId="0" xfId="1" applyNumberFormat="1" applyFont="1"/>
    <xf numFmtId="0" fontId="0" fillId="0" borderId="0" xfId="2" applyNumberFormat="1" applyFont="1"/>
    <xf numFmtId="0" fontId="0" fillId="0" borderId="0" xfId="1" applyNumberFormat="1" applyFont="1"/>
    <xf numFmtId="2" fontId="0" fillId="0" borderId="0" xfId="0" applyNumberFormat="1" applyAlignment="1">
      <alignment horizontal="right"/>
    </xf>
    <xf numFmtId="0" fontId="3" fillId="0" borderId="0" xfId="3"/>
    <xf numFmtId="165" fontId="0" fillId="0" borderId="0" xfId="0" applyNumberFormat="1"/>
    <xf numFmtId="2" fontId="0" fillId="0" borderId="0" xfId="0" applyNumberFormat="1"/>
    <xf numFmtId="0" fontId="2" fillId="0" borderId="0" xfId="0" applyFont="1" applyAlignment="1"/>
    <xf numFmtId="0" fontId="0" fillId="0" borderId="1" xfId="0" applyBorder="1" applyAlignment="1">
      <alignment horizontal="center" wrapText="1"/>
    </xf>
    <xf numFmtId="0" fontId="2" fillId="0" borderId="1" xfId="0" applyFont="1" applyBorder="1" applyAlignment="1">
      <alignment wrapText="1"/>
    </xf>
    <xf numFmtId="9" fontId="0" fillId="0" borderId="1" xfId="1" applyFont="1" applyBorder="1" applyAlignment="1">
      <alignment wrapText="1"/>
    </xf>
    <xf numFmtId="0" fontId="2" fillId="0" borderId="0" xfId="0" applyFont="1" applyAlignment="1">
      <alignment wrapText="1"/>
    </xf>
    <xf numFmtId="0" fontId="2" fillId="0" borderId="1" xfId="0" applyFont="1" applyBorder="1" applyAlignment="1">
      <alignment horizontal="center"/>
    </xf>
    <xf numFmtId="2" fontId="0" fillId="0" borderId="1" xfId="0" applyNumberFormat="1" applyBorder="1"/>
    <xf numFmtId="0" fontId="2" fillId="0" borderId="1" xfId="0" applyFont="1" applyBorder="1"/>
    <xf numFmtId="43" fontId="0" fillId="0" borderId="0" xfId="0" applyNumberFormat="1"/>
    <xf numFmtId="43" fontId="0" fillId="0" borderId="0" xfId="2" applyFont="1"/>
    <xf numFmtId="9" fontId="0" fillId="0" borderId="0" xfId="0" applyNumberFormat="1"/>
    <xf numFmtId="167" fontId="0" fillId="0" borderId="0" xfId="2" applyNumberFormat="1" applyFont="1"/>
    <xf numFmtId="43" fontId="0" fillId="0" borderId="0" xfId="2" applyFont="1" applyAlignment="1">
      <alignment wrapText="1"/>
    </xf>
    <xf numFmtId="43" fontId="0" fillId="0" borderId="0" xfId="0" applyNumberFormat="1" applyAlignment="1">
      <alignment wrapText="1"/>
    </xf>
    <xf numFmtId="0" fontId="2" fillId="0" borderId="0" xfId="0" applyFont="1" applyAlignment="1">
      <alignment horizontal="center" wrapText="1"/>
    </xf>
    <xf numFmtId="43" fontId="2" fillId="0" borderId="0" xfId="0" applyNumberFormat="1" applyFont="1" applyAlignment="1">
      <alignment horizontal="center" wrapText="1"/>
    </xf>
    <xf numFmtId="43" fontId="2" fillId="0" borderId="0" xfId="0" applyNumberFormat="1" applyFont="1"/>
    <xf numFmtId="0" fontId="0" fillId="2" borderId="0" xfId="0" applyFill="1"/>
    <xf numFmtId="0" fontId="2" fillId="2" borderId="0" xfId="0" applyFont="1" applyFill="1"/>
    <xf numFmtId="43" fontId="0" fillId="2" borderId="0" xfId="0" applyNumberFormat="1" applyFill="1"/>
    <xf numFmtId="2" fontId="0" fillId="0" borderId="0" xfId="0" applyNumberFormat="1" applyAlignment="1">
      <alignment wrapText="1"/>
    </xf>
    <xf numFmtId="9" fontId="0" fillId="0" borderId="0" xfId="1" applyFont="1" applyAlignment="1">
      <alignment wrapText="1"/>
    </xf>
    <xf numFmtId="2" fontId="0" fillId="0" borderId="0" xfId="0" quotePrefix="1" applyNumberFormat="1" applyAlignment="1">
      <alignment wrapText="1"/>
    </xf>
    <xf numFmtId="0" fontId="0" fillId="3" borderId="0" xfId="0" applyFill="1"/>
    <xf numFmtId="43" fontId="0" fillId="3" borderId="0" xfId="0" applyNumberFormat="1" applyFill="1"/>
    <xf numFmtId="9" fontId="0" fillId="3" borderId="0" xfId="1" applyFont="1" applyFill="1"/>
    <xf numFmtId="9" fontId="0" fillId="2" borderId="0" xfId="1" applyFont="1" applyFill="1"/>
    <xf numFmtId="9" fontId="2" fillId="0" borderId="0" xfId="1" applyFont="1"/>
    <xf numFmtId="0" fontId="2" fillId="3" borderId="0" xfId="0" applyFont="1" applyFill="1" applyAlignment="1">
      <alignment wrapText="1"/>
    </xf>
    <xf numFmtId="9" fontId="0" fillId="0" borderId="1" xfId="0" applyNumberFormat="1" applyBorder="1" applyAlignment="1">
      <alignment wrapText="1"/>
    </xf>
    <xf numFmtId="0" fontId="3" fillId="0" borderId="1" xfId="3" applyBorder="1" applyAlignment="1">
      <alignment wrapText="1"/>
    </xf>
    <xf numFmtId="43" fontId="0" fillId="0" borderId="1" xfId="2" applyFont="1" applyBorder="1" applyAlignment="1">
      <alignment wrapText="1"/>
    </xf>
    <xf numFmtId="43" fontId="0" fillId="0" borderId="1" xfId="0" applyNumberFormat="1" applyBorder="1" applyAlignment="1">
      <alignment wrapText="1"/>
    </xf>
    <xf numFmtId="43" fontId="2" fillId="0" borderId="1" xfId="0" applyNumberFormat="1" applyFont="1" applyBorder="1" applyAlignment="1">
      <alignment wrapText="1"/>
    </xf>
    <xf numFmtId="166" fontId="0" fillId="0" borderId="1" xfId="0" applyNumberFormat="1" applyBorder="1" applyAlignment="1">
      <alignment wrapText="1"/>
    </xf>
    <xf numFmtId="166" fontId="2" fillId="0" borderId="1" xfId="0" applyNumberFormat="1"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167" fontId="0" fillId="0" borderId="0" xfId="0" applyNumberFormat="1"/>
    <xf numFmtId="0" fontId="0" fillId="0" borderId="0" xfId="0" applyAlignment="1">
      <alignment wrapText="1"/>
    </xf>
    <xf numFmtId="0" fontId="2" fillId="0" borderId="5" xfId="0" applyFont="1" applyFill="1" applyBorder="1" applyAlignment="1">
      <alignment wrapText="1"/>
    </xf>
    <xf numFmtId="0" fontId="0" fillId="2" borderId="0" xfId="0" applyFill="1" applyAlignment="1">
      <alignment wrapText="1"/>
    </xf>
    <xf numFmtId="0" fontId="0" fillId="0" borderId="6" xfId="0" applyBorder="1" applyAlignment="1">
      <alignment wrapText="1"/>
    </xf>
    <xf numFmtId="0" fontId="0" fillId="0" borderId="2" xfId="0" applyBorder="1" applyAlignment="1">
      <alignment wrapText="1"/>
    </xf>
    <xf numFmtId="0" fontId="2" fillId="0" borderId="2" xfId="0" applyFont="1" applyBorder="1" applyAlignment="1">
      <alignment wrapText="1"/>
    </xf>
    <xf numFmtId="43" fontId="0" fillId="0" borderId="2" xfId="2" applyFont="1" applyBorder="1" applyAlignment="1">
      <alignment wrapText="1"/>
    </xf>
    <xf numFmtId="168" fontId="0" fillId="0" borderId="1" xfId="2" applyNumberFormat="1" applyFont="1" applyBorder="1" applyAlignment="1">
      <alignment wrapText="1"/>
    </xf>
    <xf numFmtId="168" fontId="0" fillId="0" borderId="2" xfId="2" applyNumberFormat="1" applyFont="1" applyBorder="1" applyAlignment="1">
      <alignment wrapText="1"/>
    </xf>
    <xf numFmtId="0" fontId="2" fillId="0" borderId="1" xfId="0" applyFont="1" applyFill="1" applyBorder="1" applyAlignment="1">
      <alignment wrapText="1"/>
    </xf>
    <xf numFmtId="43" fontId="0" fillId="0" borderId="1" xfId="0" applyNumberFormat="1" applyBorder="1"/>
    <xf numFmtId="168" fontId="0" fillId="0" borderId="1" xfId="2" applyNumberFormat="1" applyFont="1" applyBorder="1"/>
    <xf numFmtId="43" fontId="2" fillId="0" borderId="1" xfId="0" applyNumberFormat="1" applyFont="1" applyBorder="1"/>
    <xf numFmtId="43" fontId="0" fillId="0" borderId="1" xfId="2" applyFont="1" applyBorder="1"/>
    <xf numFmtId="43" fontId="0" fillId="0" borderId="1" xfId="2" applyNumberFormat="1" applyFont="1" applyBorder="1" applyAlignment="1">
      <alignment wrapText="1"/>
    </xf>
    <xf numFmtId="0" fontId="0" fillId="0" borderId="1" xfId="0" applyFont="1" applyBorder="1"/>
    <xf numFmtId="0" fontId="0" fillId="0" borderId="1" xfId="0" applyFill="1" applyBorder="1" applyAlignment="1">
      <alignment wrapText="1"/>
    </xf>
    <xf numFmtId="0" fontId="0" fillId="0" borderId="0" xfId="0" applyFont="1" applyFill="1" applyBorder="1" applyAlignment="1">
      <alignment wrapText="1"/>
    </xf>
    <xf numFmtId="43" fontId="0" fillId="0" borderId="0" xfId="0" applyNumberFormat="1" applyFont="1" applyAlignment="1">
      <alignment wrapText="1"/>
    </xf>
    <xf numFmtId="43" fontId="0" fillId="0" borderId="0" xfId="0" applyNumberFormat="1" applyFont="1" applyAlignment="1"/>
    <xf numFmtId="0" fontId="0" fillId="0" borderId="0" xfId="0" applyFont="1" applyAlignment="1">
      <alignment wrapText="1"/>
    </xf>
    <xf numFmtId="0" fontId="0" fillId="0" borderId="0" xfId="0" applyFont="1" applyAlignment="1"/>
    <xf numFmtId="0" fontId="0" fillId="0" borderId="4" xfId="0" applyBorder="1" applyAlignment="1">
      <alignment wrapText="1"/>
    </xf>
    <xf numFmtId="0" fontId="0" fillId="0" borderId="0" xfId="0" applyAlignment="1">
      <alignment wrapText="1"/>
    </xf>
    <xf numFmtId="0" fontId="2" fillId="0" borderId="0"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0" fillId="0" borderId="1" xfId="0" applyFont="1" applyBorder="1" applyAlignment="1">
      <alignment wrapText="1"/>
    </xf>
    <xf numFmtId="43" fontId="1" fillId="0" borderId="1" xfId="2" applyFont="1" applyBorder="1" applyAlignment="1">
      <alignment wrapText="1"/>
    </xf>
    <xf numFmtId="0" fontId="0" fillId="0" borderId="1" xfId="0" applyBorder="1" applyAlignment="1">
      <alignment wrapText="1"/>
    </xf>
    <xf numFmtId="43" fontId="0" fillId="0" borderId="1" xfId="0" applyNumberFormat="1" applyFont="1" applyBorder="1" applyAlignment="1">
      <alignment wrapText="1"/>
    </xf>
    <xf numFmtId="0" fontId="2" fillId="0" borderId="1" xfId="0" applyFont="1" applyBorder="1" applyAlignment="1">
      <alignment wrapText="1"/>
    </xf>
    <xf numFmtId="43" fontId="0" fillId="0" borderId="1" xfId="0" applyNumberFormat="1" applyFont="1" applyBorder="1" applyAlignment="1"/>
    <xf numFmtId="43" fontId="0" fillId="0" borderId="1" xfId="0" applyNumberFormat="1" applyFont="1" applyFill="1" applyBorder="1" applyAlignment="1"/>
    <xf numFmtId="43" fontId="0" fillId="0" borderId="1" xfId="0" applyNumberFormat="1" applyFont="1" applyBorder="1"/>
    <xf numFmtId="168" fontId="0" fillId="0" borderId="1" xfId="0" applyNumberFormat="1" applyFont="1" applyBorder="1"/>
    <xf numFmtId="166" fontId="0" fillId="0" borderId="1" xfId="0" applyNumberFormat="1" applyFont="1" applyBorder="1" applyAlignment="1"/>
    <xf numFmtId="43" fontId="2" fillId="0" borderId="1" xfId="0" applyNumberFormat="1" applyFont="1" applyBorder="1" applyAlignment="1"/>
    <xf numFmtId="43" fontId="2" fillId="0" borderId="1" xfId="0" applyNumberFormat="1" applyFont="1" applyFill="1" applyBorder="1" applyAlignment="1"/>
    <xf numFmtId="9" fontId="0" fillId="0" borderId="1" xfId="1" applyFont="1" applyBorder="1"/>
    <xf numFmtId="43" fontId="0" fillId="0" borderId="1" xfId="1" applyNumberFormat="1" applyFont="1" applyBorder="1" applyAlignment="1">
      <alignment wrapText="1"/>
    </xf>
    <xf numFmtId="43" fontId="1" fillId="0" borderId="1" xfId="2" applyNumberFormat="1" applyFont="1" applyBorder="1" applyAlignment="1">
      <alignment wrapText="1"/>
    </xf>
    <xf numFmtId="0" fontId="0" fillId="3" borderId="0" xfId="0" applyFill="1" applyAlignment="1">
      <alignment wrapText="1"/>
    </xf>
    <xf numFmtId="0" fontId="0" fillId="0" borderId="1" xfId="0" applyFont="1" applyFill="1" applyBorder="1" applyAlignment="1">
      <alignment wrapText="1"/>
    </xf>
    <xf numFmtId="12" fontId="0" fillId="0" borderId="1" xfId="0" applyNumberFormat="1" applyFont="1" applyBorder="1" applyAlignment="1">
      <alignment wrapText="1"/>
    </xf>
    <xf numFmtId="0" fontId="0" fillId="0" borderId="0" xfId="0" applyFont="1" applyBorder="1" applyAlignment="1">
      <alignment wrapText="1"/>
    </xf>
    <xf numFmtId="168" fontId="0" fillId="0" borderId="1" xfId="0" applyNumberFormat="1" applyBorder="1" applyAlignment="1">
      <alignment wrapText="1"/>
    </xf>
    <xf numFmtId="166" fontId="0" fillId="0" borderId="1" xfId="0" applyNumberFormat="1" applyFont="1" applyBorder="1" applyAlignment="1">
      <alignment wrapText="1"/>
    </xf>
    <xf numFmtId="0" fontId="0" fillId="0" borderId="1" xfId="0" applyFont="1" applyFill="1" applyBorder="1" applyAlignment="1">
      <alignment wrapText="1"/>
    </xf>
    <xf numFmtId="43" fontId="0" fillId="0" borderId="0" xfId="0" applyNumberFormat="1" applyFont="1" applyBorder="1"/>
    <xf numFmtId="166" fontId="0" fillId="0" borderId="0" xfId="0" applyNumberFormat="1"/>
    <xf numFmtId="43" fontId="2" fillId="0" borderId="0" xfId="0" applyNumberFormat="1" applyFont="1" applyBorder="1" applyAlignment="1">
      <alignment wrapText="1"/>
    </xf>
    <xf numFmtId="13" fontId="0" fillId="0" borderId="1" xfId="0" applyNumberFormat="1" applyFont="1" applyBorder="1" applyAlignment="1">
      <alignment wrapText="1"/>
    </xf>
    <xf numFmtId="0" fontId="0" fillId="0" borderId="1" xfId="0" applyFont="1" applyBorder="1" applyAlignment="1"/>
    <xf numFmtId="9" fontId="0" fillId="0" borderId="1" xfId="0" applyNumberFormat="1" applyFont="1" applyBorder="1"/>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169" fontId="0" fillId="0" borderId="1" xfId="2" applyNumberFormat="1" applyFont="1" applyBorder="1"/>
    <xf numFmtId="166" fontId="0" fillId="0" borderId="1" xfId="2" applyNumberFormat="1" applyFont="1" applyBorder="1" applyAlignment="1">
      <alignment wrapText="1"/>
    </xf>
    <xf numFmtId="169" fontId="0" fillId="0" borderId="1" xfId="2" applyNumberFormat="1" applyFont="1" applyBorder="1" applyAlignment="1">
      <alignment wrapText="1"/>
    </xf>
    <xf numFmtId="10" fontId="0" fillId="0" borderId="1" xfId="0" applyNumberFormat="1" applyBorder="1" applyAlignment="1">
      <alignment wrapText="1"/>
    </xf>
    <xf numFmtId="164" fontId="0" fillId="0" borderId="1" xfId="1" applyNumberFormat="1" applyFont="1" applyBorder="1" applyAlignment="1">
      <alignment wrapText="1"/>
    </xf>
    <xf numFmtId="168" fontId="0" fillId="0" borderId="1" xfId="2" applyNumberFormat="1" applyFont="1" applyBorder="1" applyAlignment="1">
      <alignment horizontal="left" wrapText="1" indent="2"/>
    </xf>
    <xf numFmtId="0" fontId="2" fillId="0" borderId="5" xfId="0" applyFont="1" applyFill="1" applyBorder="1" applyAlignment="1"/>
    <xf numFmtId="170" fontId="0" fillId="0" borderId="1" xfId="0" applyNumberFormat="1" applyBorder="1"/>
    <xf numFmtId="170" fontId="0" fillId="0" borderId="1" xfId="0" applyNumberFormat="1" applyBorder="1" applyAlignment="1">
      <alignment wrapText="1"/>
    </xf>
    <xf numFmtId="9" fontId="2" fillId="0" borderId="1" xfId="1" applyFont="1" applyBorder="1" applyAlignment="1">
      <alignment wrapText="1"/>
    </xf>
    <xf numFmtId="0" fontId="0" fillId="0" borderId="1" xfId="0" quotePrefix="1" applyBorder="1"/>
    <xf numFmtId="43" fontId="0" fillId="2" borderId="1" xfId="0" applyNumberFormat="1" applyFill="1" applyBorder="1"/>
    <xf numFmtId="0" fontId="0" fillId="0" borderId="1" xfId="0" applyBorder="1" applyAlignment="1"/>
    <xf numFmtId="0" fontId="0" fillId="0" borderId="2" xfId="0" applyBorder="1" applyAlignment="1">
      <alignment wrapText="1"/>
    </xf>
    <xf numFmtId="0" fontId="0"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1" xfId="0" applyFont="1" applyFill="1" applyBorder="1" applyAlignment="1">
      <alignment wrapText="1"/>
    </xf>
    <xf numFmtId="0" fontId="0" fillId="0" borderId="0" xfId="0" applyAlignment="1">
      <alignment wrapText="1"/>
    </xf>
    <xf numFmtId="170" fontId="0" fillId="0" borderId="0" xfId="0" applyNumberFormat="1" applyBorder="1" applyAlignment="1">
      <alignment wrapText="1"/>
    </xf>
    <xf numFmtId="168" fontId="0" fillId="0" borderId="0" xfId="0" applyNumberFormat="1"/>
    <xf numFmtId="169" fontId="0" fillId="0" borderId="1" xfId="0" applyNumberFormat="1" applyBorder="1"/>
    <xf numFmtId="0" fontId="0" fillId="0" borderId="2" xfId="0" applyBorder="1" applyAlignment="1">
      <alignment wrapText="1"/>
    </xf>
    <xf numFmtId="0" fontId="0" fillId="0" borderId="3" xfId="0" applyBorder="1" applyAlignment="1">
      <alignment wrapText="1"/>
    </xf>
    <xf numFmtId="0" fontId="0" fillId="0" borderId="0" xfId="0" applyAlignment="1">
      <alignment wrapText="1"/>
    </xf>
    <xf numFmtId="0" fontId="0" fillId="0" borderId="1" xfId="0" applyBorder="1" applyAlignment="1">
      <alignment wrapText="1"/>
    </xf>
    <xf numFmtId="0" fontId="0" fillId="0" borderId="1" xfId="0" applyBorder="1" applyAlignment="1">
      <alignment wrapText="1"/>
    </xf>
    <xf numFmtId="0" fontId="2" fillId="0" borderId="1" xfId="0" applyFont="1" applyBorder="1" applyAlignment="1">
      <alignment horizontal="center" wrapText="1"/>
    </xf>
    <xf numFmtId="168" fontId="0" fillId="0" borderId="3" xfId="2" applyNumberFormat="1" applyFont="1" applyBorder="1" applyAlignment="1">
      <alignment wrapText="1"/>
    </xf>
    <xf numFmtId="167" fontId="0" fillId="0" borderId="1" xfId="2" applyNumberFormat="1" applyFont="1" applyBorder="1" applyAlignment="1">
      <alignment wrapText="1"/>
    </xf>
    <xf numFmtId="0" fontId="0" fillId="0" borderId="0" xfId="0" applyAlignment="1">
      <alignment wrapText="1"/>
    </xf>
    <xf numFmtId="0" fontId="0" fillId="0" borderId="1" xfId="0" applyBorder="1" applyAlignment="1">
      <alignment wrapText="1"/>
    </xf>
    <xf numFmtId="0" fontId="2" fillId="0" borderId="1" xfId="0" applyFont="1" applyBorder="1" applyAlignment="1">
      <alignment horizontal="center" wrapText="1"/>
    </xf>
    <xf numFmtId="43" fontId="2" fillId="0" borderId="1" xfId="0" applyNumberFormat="1" applyFont="1" applyBorder="1" applyAlignment="1">
      <alignment horizontal="center"/>
    </xf>
    <xf numFmtId="171" fontId="0" fillId="0" borderId="0" xfId="2" applyNumberFormat="1" applyFont="1"/>
    <xf numFmtId="172" fontId="0" fillId="0" borderId="0" xfId="2" applyNumberFormat="1" applyFont="1"/>
    <xf numFmtId="173" fontId="0" fillId="0" borderId="0" xfId="2" applyNumberFormat="1" applyFont="1"/>
    <xf numFmtId="0" fontId="2" fillId="0" borderId="5" xfId="0" applyFont="1" applyBorder="1" applyAlignment="1">
      <alignment wrapText="1"/>
    </xf>
    <xf numFmtId="43" fontId="0" fillId="0" borderId="0" xfId="0" applyNumberFormat="1" applyBorder="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1" xfId="0" applyFont="1" applyFill="1" applyBorder="1" applyAlignment="1">
      <alignment wrapText="1"/>
    </xf>
    <xf numFmtId="168" fontId="0" fillId="0" borderId="1" xfId="2" quotePrefix="1" applyNumberFormat="1" applyFont="1" applyBorder="1" applyAlignment="1">
      <alignment wrapText="1"/>
    </xf>
    <xf numFmtId="174" fontId="0" fillId="0" borderId="1" xfId="0" applyNumberFormat="1" applyFont="1" applyBorder="1" applyAlignment="1"/>
    <xf numFmtId="175" fontId="0" fillId="0" borderId="1" xfId="2" applyNumberFormat="1" applyFont="1" applyBorder="1" applyAlignment="1"/>
    <xf numFmtId="0" fontId="0" fillId="0" borderId="1" xfId="0" applyFont="1" applyBorder="1" applyAlignment="1">
      <alignment wrapText="1"/>
    </xf>
    <xf numFmtId="0" fontId="0" fillId="0" borderId="1" xfId="0" applyFont="1" applyFill="1" applyBorder="1" applyAlignment="1">
      <alignment wrapText="1"/>
    </xf>
    <xf numFmtId="0" fontId="0" fillId="0" borderId="0" xfId="0" applyAlignment="1"/>
    <xf numFmtId="0" fontId="0" fillId="0" borderId="0" xfId="0" applyAlignment="1">
      <alignment wrapText="1"/>
    </xf>
    <xf numFmtId="0" fontId="0" fillId="0" borderId="1" xfId="0" applyFont="1" applyBorder="1" applyAlignment="1"/>
    <xf numFmtId="0" fontId="0" fillId="0" borderId="1" xfId="0" applyBorder="1" applyAlignment="1">
      <alignment wrapText="1"/>
    </xf>
    <xf numFmtId="0" fontId="5" fillId="0" borderId="0" xfId="0" applyFont="1"/>
    <xf numFmtId="0" fontId="2" fillId="0" borderId="1" xfId="0" applyFont="1" applyBorder="1" applyAlignment="1"/>
    <xf numFmtId="0" fontId="0" fillId="2" borderId="1" xfId="0" applyFill="1" applyBorder="1" applyAlignment="1">
      <alignment wrapText="1"/>
    </xf>
    <xf numFmtId="0" fontId="6" fillId="2" borderId="1" xfId="0" applyFont="1" applyFill="1" applyBorder="1" applyAlignment="1"/>
    <xf numFmtId="0" fontId="0" fillId="2" borderId="1" xfId="0" applyFill="1" applyBorder="1"/>
    <xf numFmtId="0" fontId="6" fillId="2" borderId="0" xfId="0" applyFont="1" applyFill="1" applyAlignment="1"/>
    <xf numFmtId="0" fontId="2" fillId="2" borderId="1" xfId="0" applyFont="1" applyFill="1" applyBorder="1" applyAlignment="1"/>
    <xf numFmtId="43" fontId="0" fillId="2" borderId="1" xfId="0" applyNumberFormat="1" applyFill="1" applyBorder="1" applyAlignment="1">
      <alignment wrapText="1"/>
    </xf>
    <xf numFmtId="0" fontId="0" fillId="2" borderId="2" xfId="0" applyFill="1" applyBorder="1" applyAlignment="1">
      <alignment wrapText="1"/>
    </xf>
    <xf numFmtId="43" fontId="0" fillId="2" borderId="0" xfId="0" applyNumberFormat="1" applyFill="1" applyBorder="1"/>
    <xf numFmtId="43" fontId="0" fillId="2" borderId="0" xfId="0" applyNumberForma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6" fillId="3" borderId="0" xfId="0" applyFont="1" applyFill="1" applyAlignment="1"/>
    <xf numFmtId="0" fontId="5" fillId="2" borderId="0" xfId="0" applyFont="1" applyFill="1"/>
    <xf numFmtId="0" fontId="6" fillId="2" borderId="0" xfId="0" applyFont="1" applyFill="1"/>
    <xf numFmtId="0" fontId="6" fillId="3" borderId="0" xfId="0" applyFont="1" applyFill="1"/>
    <xf numFmtId="0" fontId="4" fillId="2" borderId="0" xfId="0" applyFont="1" applyFill="1" applyBorder="1" applyAlignment="1"/>
    <xf numFmtId="167" fontId="0" fillId="0" borderId="1" xfId="0" applyNumberFormat="1" applyFont="1" applyBorder="1" applyAlignment="1">
      <alignment wrapText="1"/>
    </xf>
    <xf numFmtId="0" fontId="8" fillId="0" borderId="0" xfId="0" applyFont="1"/>
    <xf numFmtId="0" fontId="6" fillId="0" borderId="0" xfId="0" applyFont="1"/>
    <xf numFmtId="0" fontId="3" fillId="3" borderId="0" xfId="3" applyFill="1" applyAlignment="1"/>
    <xf numFmtId="0" fontId="8" fillId="2" borderId="0" xfId="0" applyFont="1" applyFill="1"/>
    <xf numFmtId="164" fontId="0" fillId="0" borderId="0" xfId="0" applyNumberFormat="1"/>
    <xf numFmtId="0" fontId="0" fillId="0" borderId="0" xfId="0" applyAlignment="1">
      <alignment horizontal="right"/>
    </xf>
    <xf numFmtId="0" fontId="0" fillId="0" borderId="0" xfId="0" applyAlignment="1">
      <alignment wrapText="1"/>
    </xf>
    <xf numFmtId="167" fontId="0" fillId="0" borderId="0" xfId="0" applyNumberFormat="1" applyAlignment="1">
      <alignment wrapText="1"/>
    </xf>
    <xf numFmtId="0" fontId="0" fillId="0" borderId="8" xfId="0" applyFont="1" applyBorder="1" applyAlignment="1">
      <alignment wrapText="1"/>
    </xf>
    <xf numFmtId="0" fontId="0" fillId="0" borderId="0" xfId="0" applyAlignment="1">
      <alignment wrapText="1"/>
    </xf>
    <xf numFmtId="0" fontId="0" fillId="0" borderId="0" xfId="0" applyFont="1" applyAlignment="1">
      <alignment wrapText="1"/>
    </xf>
    <xf numFmtId="0" fontId="5" fillId="3" borderId="3" xfId="0" applyFont="1" applyFill="1" applyBorder="1" applyAlignment="1">
      <alignment wrapText="1"/>
    </xf>
    <xf numFmtId="0" fontId="7" fillId="0" borderId="3" xfId="0" applyFont="1" applyBorder="1" applyAlignment="1">
      <alignment wrapText="1"/>
    </xf>
    <xf numFmtId="0" fontId="0" fillId="0" borderId="6" xfId="0" applyBorder="1" applyAlignment="1">
      <alignment wrapText="1"/>
    </xf>
    <xf numFmtId="0" fontId="0" fillId="0" borderId="7" xfId="0" applyBorder="1" applyAlignment="1">
      <alignment wrapText="1"/>
    </xf>
    <xf numFmtId="43" fontId="0" fillId="0" borderId="2" xfId="0" applyNumberFormat="1" applyFont="1" applyBorder="1" applyAlignment="1">
      <alignment wrapText="1"/>
    </xf>
    <xf numFmtId="0" fontId="0" fillId="0" borderId="4" xfId="0" applyBorder="1" applyAlignment="1">
      <alignment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Font="1" applyBorder="1" applyAlignment="1">
      <alignment wrapText="1"/>
    </xf>
    <xf numFmtId="0" fontId="0" fillId="0" borderId="1" xfId="0" applyFont="1" applyBorder="1" applyAlignment="1"/>
    <xf numFmtId="0" fontId="5" fillId="3" borderId="1" xfId="0" applyFont="1" applyFill="1" applyBorder="1" applyAlignment="1">
      <alignment wrapText="1"/>
    </xf>
    <xf numFmtId="0" fontId="5" fillId="0" borderId="1" xfId="0" applyFont="1" applyBorder="1" applyAlignment="1">
      <alignment wrapText="1"/>
    </xf>
    <xf numFmtId="0" fontId="0" fillId="3" borderId="1" xfId="0" applyFill="1" applyBorder="1" applyAlignment="1">
      <alignment wrapText="1"/>
    </xf>
    <xf numFmtId="0" fontId="0" fillId="0" borderId="1" xfId="0" applyBorder="1" applyAlignment="1">
      <alignment wrapText="1"/>
    </xf>
    <xf numFmtId="0" fontId="0" fillId="0" borderId="1" xfId="0" applyFont="1"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2" borderId="8"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2" fillId="0" borderId="1"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solidFill>
                  <a:schemeClr val="tx1"/>
                </a:solidFill>
              </a:rPr>
              <a:t>Patriot football pressures compared</a:t>
            </a:r>
            <a:r>
              <a:rPr lang="en-US" baseline="0">
                <a:solidFill>
                  <a:schemeClr val="tx1"/>
                </a:solidFill>
              </a:rPr>
              <a:t> to prediction based on Exponent data, balls measured as they are taken from the cold, wet bag (as shown by the gauge the ref used)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graphs!$B$96</c:f>
              <c:strCache>
                <c:ptCount val="1"/>
                <c:pt idx="0">
                  <c:v>Patriots</c:v>
                </c:pt>
              </c:strCache>
            </c:strRef>
          </c:tx>
          <c:spPr>
            <a:ln w="19050" cap="rnd">
              <a:noFill/>
              <a:round/>
            </a:ln>
            <a:effectLst/>
          </c:spPr>
          <c:marker>
            <c:symbol val="circle"/>
            <c:size val="5"/>
            <c:spPr>
              <a:solidFill>
                <a:schemeClr val="tx1"/>
              </a:solidFill>
              <a:ln w="9525">
                <a:noFill/>
              </a:ln>
              <a:effectLst/>
            </c:spPr>
          </c:marker>
          <c:xVal>
            <c:numRef>
              <c:f>graphs!$A$97:$A$131</c:f>
              <c:numCache>
                <c:formatCode>General</c:formatCode>
                <c:ptCount val="35"/>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3</c:v>
                </c:pt>
                <c:pt idx="13" formatCode="_(* #,##0.00_);_(* \(#,##0.00\);_(* &quot;-&quot;??_);_(@_)">
                  <c:v>6</c:v>
                </c:pt>
                <c:pt idx="14" formatCode="_(* #,##0.00_);_(* \(#,##0.00\);_(* &quot;-&quot;??_);_(@_)">
                  <c:v>9</c:v>
                </c:pt>
                <c:pt idx="15" formatCode="_(* #,##0.00_);_(* \(#,##0.00\);_(* &quot;-&quot;??_);_(@_)">
                  <c:v>13</c:v>
                </c:pt>
                <c:pt idx="16" formatCode="_(* #,##0.00_);_(* \(#,##0.00\);_(* &quot;-&quot;??_);_(@_)">
                  <c:v>0</c:v>
                </c:pt>
                <c:pt idx="17" formatCode="_(* #,##0.00_);_(* \(#,##0.00\);_(* &quot;-&quot;??_);_(@_)">
                  <c:v>4</c:v>
                </c:pt>
                <c:pt idx="18" formatCode="_(* #,##0.00_);_(* \(#,##0.00\);_(* &quot;-&quot;??_);_(@_)">
                  <c:v>8.0500000000000007</c:v>
                </c:pt>
                <c:pt idx="19" formatCode="_(* #,##0.00_);_(* \(#,##0.00\);_(* &quot;-&quot;??_);_(@_)">
                  <c:v>13</c:v>
                </c:pt>
                <c:pt idx="20" formatCode="_(* #,##0.00_);_(* \(#,##0.00\);_(* &quot;-&quot;??_);_(@_)">
                  <c:v>0</c:v>
                </c:pt>
                <c:pt idx="21" formatCode="_(* #,##0.00_);_(* \(#,##0.00\);_(* &quot;-&quot;??_);_(@_)">
                  <c:v>3</c:v>
                </c:pt>
                <c:pt idx="22" formatCode="_(* #,##0.00_);_(* \(#,##0.00\);_(* &quot;-&quot;??_);_(@_)">
                  <c:v>6</c:v>
                </c:pt>
                <c:pt idx="23" formatCode="_(* #,##0.00_);_(* \(#,##0.00\);_(* &quot;-&quot;??_);_(@_)">
                  <c:v>9</c:v>
                </c:pt>
                <c:pt idx="24" formatCode="_(* #,##0.00_);_(* \(#,##0.00\);_(* &quot;-&quot;??_);_(@_)">
                  <c:v>10</c:v>
                </c:pt>
                <c:pt idx="25" formatCode="_(* #,##0.00_);_(* \(#,##0.00\);_(* &quot;-&quot;??_);_(@_)">
                  <c:v>0</c:v>
                </c:pt>
                <c:pt idx="26" formatCode="_(* #,##0.00_);_(* \(#,##0.00\);_(* &quot;-&quot;??_);_(@_)">
                  <c:v>1</c:v>
                </c:pt>
                <c:pt idx="27" formatCode="_(* #,##0.00_);_(* \(#,##0.00\);_(* &quot;-&quot;??_);_(@_)">
                  <c:v>2</c:v>
                </c:pt>
                <c:pt idx="28" formatCode="_(* #,##0.00_);_(* \(#,##0.00\);_(* &quot;-&quot;??_);_(@_)">
                  <c:v>3</c:v>
                </c:pt>
                <c:pt idx="29" formatCode="_(* #,##0.00_);_(* \(#,##0.00\);_(* &quot;-&quot;??_);_(@_)">
                  <c:v>4</c:v>
                </c:pt>
                <c:pt idx="30" formatCode="_(* #,##0.00_);_(* \(#,##0.00\);_(* &quot;-&quot;??_);_(@_)">
                  <c:v>5</c:v>
                </c:pt>
                <c:pt idx="31" formatCode="_(* #,##0.00_);_(* \(#,##0.00\);_(* &quot;-&quot;??_);_(@_)">
                  <c:v>6</c:v>
                </c:pt>
                <c:pt idx="32" formatCode="_(* #,##0.00_);_(* \(#,##0.00\);_(* &quot;-&quot;??_);_(@_)">
                  <c:v>7</c:v>
                </c:pt>
                <c:pt idx="33" formatCode="_(* #,##0.00_);_(* \(#,##0.00\);_(* &quot;-&quot;??_);_(@_)">
                  <c:v>8</c:v>
                </c:pt>
                <c:pt idx="34" formatCode="_(* #,##0.00_);_(* \(#,##0.00\);_(* &quot;-&quot;??_);_(@_)">
                  <c:v>10</c:v>
                </c:pt>
              </c:numCache>
            </c:numRef>
          </c:xVal>
          <c:yVal>
            <c:numRef>
              <c:f>graphs!$B$97:$B$131</c:f>
              <c:numCache>
                <c:formatCode>General</c:formatCode>
                <c:ptCount val="35"/>
                <c:pt idx="0">
                  <c:v>11.8</c:v>
                </c:pt>
                <c:pt idx="1">
                  <c:v>11.2</c:v>
                </c:pt>
                <c:pt idx="2">
                  <c:v>11.5</c:v>
                </c:pt>
                <c:pt idx="3">
                  <c:v>11</c:v>
                </c:pt>
                <c:pt idx="4">
                  <c:v>11.45</c:v>
                </c:pt>
                <c:pt idx="5">
                  <c:v>11.95</c:v>
                </c:pt>
                <c:pt idx="6">
                  <c:v>12.3</c:v>
                </c:pt>
                <c:pt idx="7">
                  <c:v>11.55</c:v>
                </c:pt>
                <c:pt idx="8">
                  <c:v>11.35</c:v>
                </c:pt>
                <c:pt idx="9">
                  <c:v>10.9</c:v>
                </c:pt>
                <c:pt idx="10">
                  <c:v>11.35</c:v>
                </c:pt>
              </c:numCache>
            </c:numRef>
          </c:yVal>
          <c:smooth val="0"/>
        </c:ser>
        <c:ser>
          <c:idx val="1"/>
          <c:order val="1"/>
          <c:tx>
            <c:strRef>
              <c:f>graphs!$C$96</c:f>
              <c:strCache>
                <c:ptCount val="1"/>
                <c:pt idx="0">
                  <c:v>Prediction, dry footballs in bag</c:v>
                </c:pt>
              </c:strCache>
            </c:strRef>
          </c:tx>
          <c:spPr>
            <a:ln w="19050" cap="rnd">
              <a:solidFill>
                <a:schemeClr val="tx1"/>
              </a:solidFill>
              <a:prstDash val="dash"/>
              <a:round/>
            </a:ln>
            <a:effectLst/>
          </c:spPr>
          <c:marker>
            <c:symbol val="none"/>
          </c:marker>
          <c:xVal>
            <c:numRef>
              <c:f>graphs!$A$97:$A$131</c:f>
              <c:numCache>
                <c:formatCode>General</c:formatCode>
                <c:ptCount val="35"/>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3</c:v>
                </c:pt>
                <c:pt idx="13" formatCode="_(* #,##0.00_);_(* \(#,##0.00\);_(* &quot;-&quot;??_);_(@_)">
                  <c:v>6</c:v>
                </c:pt>
                <c:pt idx="14" formatCode="_(* #,##0.00_);_(* \(#,##0.00\);_(* &quot;-&quot;??_);_(@_)">
                  <c:v>9</c:v>
                </c:pt>
                <c:pt idx="15" formatCode="_(* #,##0.00_);_(* \(#,##0.00\);_(* &quot;-&quot;??_);_(@_)">
                  <c:v>13</c:v>
                </c:pt>
                <c:pt idx="16" formatCode="_(* #,##0.00_);_(* \(#,##0.00\);_(* &quot;-&quot;??_);_(@_)">
                  <c:v>0</c:v>
                </c:pt>
                <c:pt idx="17" formatCode="_(* #,##0.00_);_(* \(#,##0.00\);_(* &quot;-&quot;??_);_(@_)">
                  <c:v>4</c:v>
                </c:pt>
                <c:pt idx="18" formatCode="_(* #,##0.00_);_(* \(#,##0.00\);_(* &quot;-&quot;??_);_(@_)">
                  <c:v>8.0500000000000007</c:v>
                </c:pt>
                <c:pt idx="19" formatCode="_(* #,##0.00_);_(* \(#,##0.00\);_(* &quot;-&quot;??_);_(@_)">
                  <c:v>13</c:v>
                </c:pt>
                <c:pt idx="20" formatCode="_(* #,##0.00_);_(* \(#,##0.00\);_(* &quot;-&quot;??_);_(@_)">
                  <c:v>0</c:v>
                </c:pt>
                <c:pt idx="21" formatCode="_(* #,##0.00_);_(* \(#,##0.00\);_(* &quot;-&quot;??_);_(@_)">
                  <c:v>3</c:v>
                </c:pt>
                <c:pt idx="22" formatCode="_(* #,##0.00_);_(* \(#,##0.00\);_(* &quot;-&quot;??_);_(@_)">
                  <c:v>6</c:v>
                </c:pt>
                <c:pt idx="23" formatCode="_(* #,##0.00_);_(* \(#,##0.00\);_(* &quot;-&quot;??_);_(@_)">
                  <c:v>9</c:v>
                </c:pt>
                <c:pt idx="24" formatCode="_(* #,##0.00_);_(* \(#,##0.00\);_(* &quot;-&quot;??_);_(@_)">
                  <c:v>10</c:v>
                </c:pt>
                <c:pt idx="25" formatCode="_(* #,##0.00_);_(* \(#,##0.00\);_(* &quot;-&quot;??_);_(@_)">
                  <c:v>0</c:v>
                </c:pt>
                <c:pt idx="26" formatCode="_(* #,##0.00_);_(* \(#,##0.00\);_(* &quot;-&quot;??_);_(@_)">
                  <c:v>1</c:v>
                </c:pt>
                <c:pt idx="27" formatCode="_(* #,##0.00_);_(* \(#,##0.00\);_(* &quot;-&quot;??_);_(@_)">
                  <c:v>2</c:v>
                </c:pt>
                <c:pt idx="28" formatCode="_(* #,##0.00_);_(* \(#,##0.00\);_(* &quot;-&quot;??_);_(@_)">
                  <c:v>3</c:v>
                </c:pt>
                <c:pt idx="29" formatCode="_(* #,##0.00_);_(* \(#,##0.00\);_(* &quot;-&quot;??_);_(@_)">
                  <c:v>4</c:v>
                </c:pt>
                <c:pt idx="30" formatCode="_(* #,##0.00_);_(* \(#,##0.00\);_(* &quot;-&quot;??_);_(@_)">
                  <c:v>5</c:v>
                </c:pt>
                <c:pt idx="31" formatCode="_(* #,##0.00_);_(* \(#,##0.00\);_(* &quot;-&quot;??_);_(@_)">
                  <c:v>6</c:v>
                </c:pt>
                <c:pt idx="32" formatCode="_(* #,##0.00_);_(* \(#,##0.00\);_(* &quot;-&quot;??_);_(@_)">
                  <c:v>7</c:v>
                </c:pt>
                <c:pt idx="33" formatCode="_(* #,##0.00_);_(* \(#,##0.00\);_(* &quot;-&quot;??_);_(@_)">
                  <c:v>8</c:v>
                </c:pt>
                <c:pt idx="34" formatCode="_(* #,##0.00_);_(* \(#,##0.00\);_(* &quot;-&quot;??_);_(@_)">
                  <c:v>10</c:v>
                </c:pt>
              </c:numCache>
            </c:numRef>
          </c:xVal>
          <c:yVal>
            <c:numRef>
              <c:f>graphs!$C$97:$C$131</c:f>
              <c:numCache>
                <c:formatCode>General</c:formatCode>
                <c:ptCount val="35"/>
                <c:pt idx="11" formatCode="_(* #,##0.00_);_(* \(#,##0.00\);_(* &quot;-&quot;??_);_(@_)">
                  <c:v>10.968589398023031</c:v>
                </c:pt>
                <c:pt idx="12" formatCode="_(* #,##0.00_);_(* \(#,##0.00\);_(* &quot;-&quot;??_);_(@_)">
                  <c:v>11.004374516797483</c:v>
                </c:pt>
                <c:pt idx="13" formatCode="_(* #,##0.00_);_(* \(#,##0.00\);_(* &quot;-&quot;??_);_(@_)">
                  <c:v>11.055560789568926</c:v>
                </c:pt>
                <c:pt idx="14" formatCode="_(* #,##0.00_);_(* \(#,##0.00\);_(* &quot;-&quot;??_);_(@_)">
                  <c:v>11.10674706234037</c:v>
                </c:pt>
                <c:pt idx="15" formatCode="_(* #,##0.00_);_(* \(#,##0.00\);_(* &quot;-&quot;??_);_(@_)">
                  <c:v>11.165314503518701</c:v>
                </c:pt>
              </c:numCache>
            </c:numRef>
          </c:yVal>
          <c:smooth val="0"/>
        </c:ser>
        <c:ser>
          <c:idx val="2"/>
          <c:order val="2"/>
          <c:tx>
            <c:strRef>
              <c:f>graphs!$D$96</c:f>
              <c:strCache>
                <c:ptCount val="1"/>
                <c:pt idx="0">
                  <c:v>Prediction, moistened footballs in bag</c:v>
                </c:pt>
              </c:strCache>
            </c:strRef>
          </c:tx>
          <c:spPr>
            <a:ln w="19050" cap="rnd">
              <a:solidFill>
                <a:schemeClr val="tx1"/>
              </a:solidFill>
              <a:round/>
            </a:ln>
            <a:effectLst/>
          </c:spPr>
          <c:marker>
            <c:symbol val="none"/>
          </c:marker>
          <c:xVal>
            <c:numRef>
              <c:f>graphs!$A$97:$A$131</c:f>
              <c:numCache>
                <c:formatCode>General</c:formatCode>
                <c:ptCount val="35"/>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3</c:v>
                </c:pt>
                <c:pt idx="13" formatCode="_(* #,##0.00_);_(* \(#,##0.00\);_(* &quot;-&quot;??_);_(@_)">
                  <c:v>6</c:v>
                </c:pt>
                <c:pt idx="14" formatCode="_(* #,##0.00_);_(* \(#,##0.00\);_(* &quot;-&quot;??_);_(@_)">
                  <c:v>9</c:v>
                </c:pt>
                <c:pt idx="15" formatCode="_(* #,##0.00_);_(* \(#,##0.00\);_(* &quot;-&quot;??_);_(@_)">
                  <c:v>13</c:v>
                </c:pt>
                <c:pt idx="16" formatCode="_(* #,##0.00_);_(* \(#,##0.00\);_(* &quot;-&quot;??_);_(@_)">
                  <c:v>0</c:v>
                </c:pt>
                <c:pt idx="17" formatCode="_(* #,##0.00_);_(* \(#,##0.00\);_(* &quot;-&quot;??_);_(@_)">
                  <c:v>4</c:v>
                </c:pt>
                <c:pt idx="18" formatCode="_(* #,##0.00_);_(* \(#,##0.00\);_(* &quot;-&quot;??_);_(@_)">
                  <c:v>8.0500000000000007</c:v>
                </c:pt>
                <c:pt idx="19" formatCode="_(* #,##0.00_);_(* \(#,##0.00\);_(* &quot;-&quot;??_);_(@_)">
                  <c:v>13</c:v>
                </c:pt>
                <c:pt idx="20" formatCode="_(* #,##0.00_);_(* \(#,##0.00\);_(* &quot;-&quot;??_);_(@_)">
                  <c:v>0</c:v>
                </c:pt>
                <c:pt idx="21" formatCode="_(* #,##0.00_);_(* \(#,##0.00\);_(* &quot;-&quot;??_);_(@_)">
                  <c:v>3</c:v>
                </c:pt>
                <c:pt idx="22" formatCode="_(* #,##0.00_);_(* \(#,##0.00\);_(* &quot;-&quot;??_);_(@_)">
                  <c:v>6</c:v>
                </c:pt>
                <c:pt idx="23" formatCode="_(* #,##0.00_);_(* \(#,##0.00\);_(* &quot;-&quot;??_);_(@_)">
                  <c:v>9</c:v>
                </c:pt>
                <c:pt idx="24" formatCode="_(* #,##0.00_);_(* \(#,##0.00\);_(* &quot;-&quot;??_);_(@_)">
                  <c:v>10</c:v>
                </c:pt>
                <c:pt idx="25" formatCode="_(* #,##0.00_);_(* \(#,##0.00\);_(* &quot;-&quot;??_);_(@_)">
                  <c:v>0</c:v>
                </c:pt>
                <c:pt idx="26" formatCode="_(* #,##0.00_);_(* \(#,##0.00\);_(* &quot;-&quot;??_);_(@_)">
                  <c:v>1</c:v>
                </c:pt>
                <c:pt idx="27" formatCode="_(* #,##0.00_);_(* \(#,##0.00\);_(* &quot;-&quot;??_);_(@_)">
                  <c:v>2</c:v>
                </c:pt>
                <c:pt idx="28" formatCode="_(* #,##0.00_);_(* \(#,##0.00\);_(* &quot;-&quot;??_);_(@_)">
                  <c:v>3</c:v>
                </c:pt>
                <c:pt idx="29" formatCode="_(* #,##0.00_);_(* \(#,##0.00\);_(* &quot;-&quot;??_);_(@_)">
                  <c:v>4</c:v>
                </c:pt>
                <c:pt idx="30" formatCode="_(* #,##0.00_);_(* \(#,##0.00\);_(* &quot;-&quot;??_);_(@_)">
                  <c:v>5</c:v>
                </c:pt>
                <c:pt idx="31" formatCode="_(* #,##0.00_);_(* \(#,##0.00\);_(* &quot;-&quot;??_);_(@_)">
                  <c:v>6</c:v>
                </c:pt>
                <c:pt idx="32" formatCode="_(* #,##0.00_);_(* \(#,##0.00\);_(* &quot;-&quot;??_);_(@_)">
                  <c:v>7</c:v>
                </c:pt>
                <c:pt idx="33" formatCode="_(* #,##0.00_);_(* \(#,##0.00\);_(* &quot;-&quot;??_);_(@_)">
                  <c:v>8</c:v>
                </c:pt>
                <c:pt idx="34" formatCode="_(* #,##0.00_);_(* \(#,##0.00\);_(* &quot;-&quot;??_);_(@_)">
                  <c:v>10</c:v>
                </c:pt>
              </c:numCache>
            </c:numRef>
          </c:xVal>
          <c:yVal>
            <c:numRef>
              <c:f>graphs!$D$97:$D$131</c:f>
              <c:numCache>
                <c:formatCode>General</c:formatCode>
                <c:ptCount val="35"/>
                <c:pt idx="16" formatCode="_(* #,##0.00_);_(* \(#,##0.00\);_(* &quot;-&quot;??_);_(@_)">
                  <c:v>10.916089398023031</c:v>
                </c:pt>
                <c:pt idx="17" formatCode="_(* #,##0.00_);_(* \(#,##0.00\);_(* &quot;-&quot;??_);_(@_)">
                  <c:v>10.959301027715801</c:v>
                </c:pt>
                <c:pt idx="18" formatCode="_(* #,##0.00_);_(* \(#,##0.00\);_(* &quot;-&quot;??_);_(@_)">
                  <c:v>11.01534893758601</c:v>
                </c:pt>
                <c:pt idx="19" formatCode="_(* #,##0.00_);_(* \(#,##0.00\);_(* &quot;-&quot;??_);_(@_)">
                  <c:v>11.073840483145082</c:v>
                </c:pt>
              </c:numCache>
            </c:numRef>
          </c:yVal>
          <c:smooth val="0"/>
        </c:ser>
        <c:ser>
          <c:idx val="3"/>
          <c:order val="3"/>
          <c:tx>
            <c:strRef>
              <c:f>graphs!$E$96</c:f>
              <c:strCache>
                <c:ptCount val="1"/>
                <c:pt idx="0">
                  <c:v>11 dry, kept in bag, and air not humid</c:v>
                </c:pt>
              </c:strCache>
            </c:strRef>
          </c:tx>
          <c:spPr>
            <a:ln w="25400" cap="rnd">
              <a:solidFill>
                <a:schemeClr val="bg2">
                  <a:lumMod val="75000"/>
                </a:schemeClr>
              </a:solidFill>
              <a:prstDash val="sysDot"/>
              <a:round/>
            </a:ln>
            <a:effectLst/>
          </c:spPr>
          <c:marker>
            <c:symbol val="none"/>
          </c:marker>
          <c:xVal>
            <c:numRef>
              <c:f>graphs!$A$97:$A$131</c:f>
              <c:numCache>
                <c:formatCode>General</c:formatCode>
                <c:ptCount val="35"/>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3</c:v>
                </c:pt>
                <c:pt idx="13" formatCode="_(* #,##0.00_);_(* \(#,##0.00\);_(* &quot;-&quot;??_);_(@_)">
                  <c:v>6</c:v>
                </c:pt>
                <c:pt idx="14" formatCode="_(* #,##0.00_);_(* \(#,##0.00\);_(* &quot;-&quot;??_);_(@_)">
                  <c:v>9</c:v>
                </c:pt>
                <c:pt idx="15" formatCode="_(* #,##0.00_);_(* \(#,##0.00\);_(* &quot;-&quot;??_);_(@_)">
                  <c:v>13</c:v>
                </c:pt>
                <c:pt idx="16" formatCode="_(* #,##0.00_);_(* \(#,##0.00\);_(* &quot;-&quot;??_);_(@_)">
                  <c:v>0</c:v>
                </c:pt>
                <c:pt idx="17" formatCode="_(* #,##0.00_);_(* \(#,##0.00\);_(* &quot;-&quot;??_);_(@_)">
                  <c:v>4</c:v>
                </c:pt>
                <c:pt idx="18" formatCode="_(* #,##0.00_);_(* \(#,##0.00\);_(* &quot;-&quot;??_);_(@_)">
                  <c:v>8.0500000000000007</c:v>
                </c:pt>
                <c:pt idx="19" formatCode="_(* #,##0.00_);_(* \(#,##0.00\);_(* &quot;-&quot;??_);_(@_)">
                  <c:v>13</c:v>
                </c:pt>
                <c:pt idx="20" formatCode="_(* #,##0.00_);_(* \(#,##0.00\);_(* &quot;-&quot;??_);_(@_)">
                  <c:v>0</c:v>
                </c:pt>
                <c:pt idx="21" formatCode="_(* #,##0.00_);_(* \(#,##0.00\);_(* &quot;-&quot;??_);_(@_)">
                  <c:v>3</c:v>
                </c:pt>
                <c:pt idx="22" formatCode="_(* #,##0.00_);_(* \(#,##0.00\);_(* &quot;-&quot;??_);_(@_)">
                  <c:v>6</c:v>
                </c:pt>
                <c:pt idx="23" formatCode="_(* #,##0.00_);_(* \(#,##0.00\);_(* &quot;-&quot;??_);_(@_)">
                  <c:v>9</c:v>
                </c:pt>
                <c:pt idx="24" formatCode="_(* #,##0.00_);_(* \(#,##0.00\);_(* &quot;-&quot;??_);_(@_)">
                  <c:v>10</c:v>
                </c:pt>
                <c:pt idx="25" formatCode="_(* #,##0.00_);_(* \(#,##0.00\);_(* &quot;-&quot;??_);_(@_)">
                  <c:v>0</c:v>
                </c:pt>
                <c:pt idx="26" formatCode="_(* #,##0.00_);_(* \(#,##0.00\);_(* &quot;-&quot;??_);_(@_)">
                  <c:v>1</c:v>
                </c:pt>
                <c:pt idx="27" formatCode="_(* #,##0.00_);_(* \(#,##0.00\);_(* &quot;-&quot;??_);_(@_)">
                  <c:v>2</c:v>
                </c:pt>
                <c:pt idx="28" formatCode="_(* #,##0.00_);_(* \(#,##0.00\);_(* &quot;-&quot;??_);_(@_)">
                  <c:v>3</c:v>
                </c:pt>
                <c:pt idx="29" formatCode="_(* #,##0.00_);_(* \(#,##0.00\);_(* &quot;-&quot;??_);_(@_)">
                  <c:v>4</c:v>
                </c:pt>
                <c:pt idx="30" formatCode="_(* #,##0.00_);_(* \(#,##0.00\);_(* &quot;-&quot;??_);_(@_)">
                  <c:v>5</c:v>
                </c:pt>
                <c:pt idx="31" formatCode="_(* #,##0.00_);_(* \(#,##0.00\);_(* &quot;-&quot;??_);_(@_)">
                  <c:v>6</c:v>
                </c:pt>
                <c:pt idx="32" formatCode="_(* #,##0.00_);_(* \(#,##0.00\);_(* &quot;-&quot;??_);_(@_)">
                  <c:v>7</c:v>
                </c:pt>
                <c:pt idx="33" formatCode="_(* #,##0.00_);_(* \(#,##0.00\);_(* &quot;-&quot;??_);_(@_)">
                  <c:v>8</c:v>
                </c:pt>
                <c:pt idx="34" formatCode="_(* #,##0.00_);_(* \(#,##0.00\);_(* &quot;-&quot;??_);_(@_)">
                  <c:v>10</c:v>
                </c:pt>
              </c:numCache>
            </c:numRef>
          </c:xVal>
          <c:yVal>
            <c:numRef>
              <c:f>graphs!$E$97:$E$131</c:f>
              <c:numCache>
                <c:formatCode>General</c:formatCode>
                <c:ptCount val="35"/>
                <c:pt idx="20" formatCode="_(* #,##0.00_);_(* \(#,##0.00\);_(* &quot;-&quot;??_);_(@_)">
                  <c:v>11.05558656248428</c:v>
                </c:pt>
                <c:pt idx="21" formatCode="_(* #,##0.00_);_(* \(#,##0.00\);_(* &quot;-&quot;??_);_(@_)">
                  <c:v>11.09555918125873</c:v>
                </c:pt>
                <c:pt idx="22" formatCode="_(* #,##0.00_);_(* \(#,##0.00\);_(* &quot;-&quot;??_);_(@_)">
                  <c:v>11.150932954030173</c:v>
                </c:pt>
                <c:pt idx="23" formatCode="_(* #,##0.00_);_(* \(#,##0.00\);_(* &quot;-&quot;??_);_(@_)">
                  <c:v>11.206306726801618</c:v>
                </c:pt>
                <c:pt idx="24" formatCode="_(* #,##0.00_);_(* \(#,##0.00\);_(* &quot;-&quot;??_);_(@_)">
                  <c:v>11.224764651058766</c:v>
                </c:pt>
              </c:numCache>
            </c:numRef>
          </c:yVal>
          <c:smooth val="0"/>
        </c:ser>
        <c:ser>
          <c:idx val="4"/>
          <c:order val="4"/>
          <c:tx>
            <c:strRef>
              <c:f>graphs!$F$96</c:f>
              <c:strCache>
                <c:ptCount val="1"/>
                <c:pt idx="0">
                  <c:v>73% more wet, kept in bag</c:v>
                </c:pt>
              </c:strCache>
            </c:strRef>
          </c:tx>
          <c:spPr>
            <a:ln w="25400" cap="rnd">
              <a:solidFill>
                <a:schemeClr val="bg2">
                  <a:lumMod val="75000"/>
                </a:schemeClr>
              </a:solidFill>
              <a:prstDash val="lgDashDot"/>
              <a:round/>
            </a:ln>
            <a:effectLst/>
          </c:spPr>
          <c:marker>
            <c:symbol val="none"/>
          </c:marker>
          <c:xVal>
            <c:numRef>
              <c:f>graphs!$A$97:$A$131</c:f>
              <c:numCache>
                <c:formatCode>General</c:formatCode>
                <c:ptCount val="35"/>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3</c:v>
                </c:pt>
                <c:pt idx="13" formatCode="_(* #,##0.00_);_(* \(#,##0.00\);_(* &quot;-&quot;??_);_(@_)">
                  <c:v>6</c:v>
                </c:pt>
                <c:pt idx="14" formatCode="_(* #,##0.00_);_(* \(#,##0.00\);_(* &quot;-&quot;??_);_(@_)">
                  <c:v>9</c:v>
                </c:pt>
                <c:pt idx="15" formatCode="_(* #,##0.00_);_(* \(#,##0.00\);_(* &quot;-&quot;??_);_(@_)">
                  <c:v>13</c:v>
                </c:pt>
                <c:pt idx="16" formatCode="_(* #,##0.00_);_(* \(#,##0.00\);_(* &quot;-&quot;??_);_(@_)">
                  <c:v>0</c:v>
                </c:pt>
                <c:pt idx="17" formatCode="_(* #,##0.00_);_(* \(#,##0.00\);_(* &quot;-&quot;??_);_(@_)">
                  <c:v>4</c:v>
                </c:pt>
                <c:pt idx="18" formatCode="_(* #,##0.00_);_(* \(#,##0.00\);_(* &quot;-&quot;??_);_(@_)">
                  <c:v>8.0500000000000007</c:v>
                </c:pt>
                <c:pt idx="19" formatCode="_(* #,##0.00_);_(* \(#,##0.00\);_(* &quot;-&quot;??_);_(@_)">
                  <c:v>13</c:v>
                </c:pt>
                <c:pt idx="20" formatCode="_(* #,##0.00_);_(* \(#,##0.00\);_(* &quot;-&quot;??_);_(@_)">
                  <c:v>0</c:v>
                </c:pt>
                <c:pt idx="21" formatCode="_(* #,##0.00_);_(* \(#,##0.00\);_(* &quot;-&quot;??_);_(@_)">
                  <c:v>3</c:v>
                </c:pt>
                <c:pt idx="22" formatCode="_(* #,##0.00_);_(* \(#,##0.00\);_(* &quot;-&quot;??_);_(@_)">
                  <c:v>6</c:v>
                </c:pt>
                <c:pt idx="23" formatCode="_(* #,##0.00_);_(* \(#,##0.00\);_(* &quot;-&quot;??_);_(@_)">
                  <c:v>9</c:v>
                </c:pt>
                <c:pt idx="24" formatCode="_(* #,##0.00_);_(* \(#,##0.00\);_(* &quot;-&quot;??_);_(@_)">
                  <c:v>10</c:v>
                </c:pt>
                <c:pt idx="25" formatCode="_(* #,##0.00_);_(* \(#,##0.00\);_(* &quot;-&quot;??_);_(@_)">
                  <c:v>0</c:v>
                </c:pt>
                <c:pt idx="26" formatCode="_(* #,##0.00_);_(* \(#,##0.00\);_(* &quot;-&quot;??_);_(@_)">
                  <c:v>1</c:v>
                </c:pt>
                <c:pt idx="27" formatCode="_(* #,##0.00_);_(* \(#,##0.00\);_(* &quot;-&quot;??_);_(@_)">
                  <c:v>2</c:v>
                </c:pt>
                <c:pt idx="28" formatCode="_(* #,##0.00_);_(* \(#,##0.00\);_(* &quot;-&quot;??_);_(@_)">
                  <c:v>3</c:v>
                </c:pt>
                <c:pt idx="29" formatCode="_(* #,##0.00_);_(* \(#,##0.00\);_(* &quot;-&quot;??_);_(@_)">
                  <c:v>4</c:v>
                </c:pt>
                <c:pt idx="30" formatCode="_(* #,##0.00_);_(* \(#,##0.00\);_(* &quot;-&quot;??_);_(@_)">
                  <c:v>5</c:v>
                </c:pt>
                <c:pt idx="31" formatCode="_(* #,##0.00_);_(* \(#,##0.00\);_(* &quot;-&quot;??_);_(@_)">
                  <c:v>6</c:v>
                </c:pt>
                <c:pt idx="32" formatCode="_(* #,##0.00_);_(* \(#,##0.00\);_(* &quot;-&quot;??_);_(@_)">
                  <c:v>7</c:v>
                </c:pt>
                <c:pt idx="33" formatCode="_(* #,##0.00_);_(* \(#,##0.00\);_(* &quot;-&quot;??_);_(@_)">
                  <c:v>8</c:v>
                </c:pt>
                <c:pt idx="34" formatCode="_(* #,##0.00_);_(* \(#,##0.00\);_(* &quot;-&quot;??_);_(@_)">
                  <c:v>10</c:v>
                </c:pt>
              </c:numCache>
            </c:numRef>
          </c:xVal>
          <c:yVal>
            <c:numRef>
              <c:f>graphs!$F$97:$F$131</c:f>
              <c:numCache>
                <c:formatCode>General</c:formatCode>
                <c:ptCount val="35"/>
                <c:pt idx="25" formatCode="_(* #,##0.00_);_(* \(#,##0.00\);_(* &quot;-&quot;??_);_(@_)">
                  <c:v>10.813774420281106</c:v>
                </c:pt>
                <c:pt idx="26" formatCode="_(* #,##0.00_);_(* \(#,##0.00\);_(* &quot;-&quot;??_);_(@_)">
                  <c:v>10.820060418545493</c:v>
                </c:pt>
                <c:pt idx="27" formatCode="_(* #,##0.00_);_(* \(#,##0.00\);_(* &quot;-&quot;??_);_(@_)">
                  <c:v>10.827260506215369</c:v>
                </c:pt>
                <c:pt idx="28" formatCode="_(* #,##0.00_);_(* \(#,##0.00\);_(* &quot;-&quot;??_);_(@_)">
                  <c:v>10.840075714518932</c:v>
                </c:pt>
                <c:pt idx="29" formatCode="_(* #,##0.00_);_(* \(#,##0.00\);_(* &quot;-&quot;??_);_(@_)">
                  <c:v>10.852890922822498</c:v>
                </c:pt>
                <c:pt idx="30" formatCode="_(* #,##0.00_);_(* \(#,##0.00\);_(* &quot;-&quot;??_);_(@_)">
                  <c:v>10.865706131126062</c:v>
                </c:pt>
                <c:pt idx="31" formatCode="_(* #,##0.00_);_(* \(#,##0.00\);_(* &quot;-&quot;??_);_(@_)">
                  <c:v>10.878521339429625</c:v>
                </c:pt>
                <c:pt idx="32" formatCode="_(* #,##0.00_);_(* \(#,##0.00\);_(* &quot;-&quot;??_);_(@_)">
                  <c:v>10.891336547733189</c:v>
                </c:pt>
                <c:pt idx="33" formatCode="_(* #,##0.00_);_(* \(#,##0.00\);_(* &quot;-&quot;??_);_(@_)">
                  <c:v>10.904151756036754</c:v>
                </c:pt>
                <c:pt idx="34" formatCode="_(* #,##0.00_);_(* \(#,##0.00\);_(* &quot;-&quot;??_);_(@_)">
                  <c:v>10.929782172643883</c:v>
                </c:pt>
              </c:numCache>
            </c:numRef>
          </c:yVal>
          <c:smooth val="0"/>
        </c:ser>
        <c:dLbls>
          <c:showLegendKey val="0"/>
          <c:showVal val="0"/>
          <c:showCatName val="0"/>
          <c:showSerName val="0"/>
          <c:showPercent val="0"/>
          <c:showBubbleSize val="0"/>
        </c:dLbls>
        <c:axId val="402948240"/>
        <c:axId val="402947456"/>
      </c:scatterChart>
      <c:valAx>
        <c:axId val="402948240"/>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solidFill>
                      <a:schemeClr val="tx1"/>
                    </a:solidFill>
                  </a:rPr>
                  <a:t>Minutes ball was inside, warming up,  before it was measured</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7456"/>
        <c:crosses val="autoZero"/>
        <c:crossBetween val="midCat"/>
      </c:valAx>
      <c:valAx>
        <c:axId val="402947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sz="1100" b="1">
                    <a:solidFill>
                      <a:schemeClr val="tx1"/>
                    </a:solidFill>
                  </a:rPr>
                  <a:t>Pressure (psi)</a:t>
                </a:r>
              </a:p>
            </c:rich>
          </c:tx>
          <c:layout>
            <c:manualLayout>
              <c:xMode val="edge"/>
              <c:yMode val="edge"/>
              <c:x val="2.5174825174825177E-2"/>
              <c:y val="0.3355495004541326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8240"/>
        <c:crosses val="autoZero"/>
        <c:crossBetween val="midCat"/>
      </c:valAx>
      <c:spPr>
        <a:noFill/>
        <a:ln>
          <a:noFill/>
        </a:ln>
        <a:effectLst/>
      </c:spPr>
    </c:plotArea>
    <c:legend>
      <c:legendPos val="b"/>
      <c:layout>
        <c:manualLayout>
          <c:xMode val="edge"/>
          <c:yMode val="edge"/>
          <c:x val="5.2061670612851711E-2"/>
          <c:y val="0.71623191323465496"/>
          <c:w val="0.47629601894168822"/>
          <c:h val="0.24572116982386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1" baseline="0">
                <a:solidFill>
                  <a:schemeClr val="tx1"/>
                </a:solidFill>
              </a:rPr>
              <a:t>Pressure of the intercepted ball over time</a:t>
            </a:r>
            <a:r>
              <a:rPr lang="en-US" baseline="0">
                <a:solidFill>
                  <a:schemeClr val="tx1"/>
                </a:solidFill>
              </a:rPr>
              <a:t>: It proves the Colts gauge agrees with the ref's over-reading gauge, not the accurate gauge. </a:t>
            </a:r>
            <a:endParaRPr lang="en-US">
              <a:solidFill>
                <a:schemeClr val="tx1"/>
              </a:solidFill>
            </a:endParaRPr>
          </a:p>
        </c:rich>
      </c:tx>
      <c:layout>
        <c:manualLayout>
          <c:xMode val="edge"/>
          <c:yMode val="edge"/>
          <c:x val="0.10132633420822397"/>
          <c:y val="3.28542094455852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842847769028871"/>
          <c:y val="0.1490495677287651"/>
          <c:w val="0.78834930008748905"/>
          <c:h val="0.29461800165684088"/>
        </c:manualLayout>
      </c:layout>
      <c:scatterChart>
        <c:scatterStyle val="lineMarker"/>
        <c:varyColors val="0"/>
        <c:ser>
          <c:idx val="0"/>
          <c:order val="0"/>
          <c:tx>
            <c:strRef>
              <c:f>provRef!$C$111</c:f>
              <c:strCache>
                <c:ptCount val="1"/>
                <c:pt idx="0">
                  <c:v>Non-tampered "wet" ball (or ball deflated by the amount the gauges disagree by), calculated from Exponent data after adusting for correct starting temperature</c:v>
                </c:pt>
              </c:strCache>
            </c:strRef>
          </c:tx>
          <c:spPr>
            <a:ln w="19050" cap="rnd">
              <a:solidFill>
                <a:schemeClr val="tx1"/>
              </a:solidFill>
              <a:prstDash val="dash"/>
              <a:round/>
            </a:ln>
            <a:effectLst/>
          </c:spPr>
          <c:marker>
            <c:symbol val="none"/>
          </c:marker>
          <c:xVal>
            <c:numRef>
              <c:f>provRef!$B$112:$B$122</c:f>
              <c:numCache>
                <c:formatCode>0.0</c:formatCode>
                <c:ptCount val="11"/>
                <c:pt idx="0" formatCode="General">
                  <c:v>0</c:v>
                </c:pt>
                <c:pt idx="1">
                  <c:v>4</c:v>
                </c:pt>
                <c:pt idx="2">
                  <c:v>8</c:v>
                </c:pt>
                <c:pt idx="3">
                  <c:v>15</c:v>
                </c:pt>
                <c:pt idx="4">
                  <c:v>4</c:v>
                </c:pt>
                <c:pt idx="5">
                  <c:v>8.75</c:v>
                </c:pt>
                <c:pt idx="6">
                  <c:v>15</c:v>
                </c:pt>
                <c:pt idx="7" formatCode="General">
                  <c:v>0</c:v>
                </c:pt>
                <c:pt idx="8">
                  <c:v>8.25</c:v>
                </c:pt>
                <c:pt idx="9">
                  <c:v>8</c:v>
                </c:pt>
                <c:pt idx="10">
                  <c:v>8.125</c:v>
                </c:pt>
              </c:numCache>
            </c:numRef>
          </c:xVal>
          <c:yVal>
            <c:numRef>
              <c:f>provRef!$C$112:$C$122</c:f>
              <c:numCache>
                <c:formatCode>_(* #,##0.00_);_(* \(#,##0.00\);_(* "-"??_);_(@_)</c:formatCode>
                <c:ptCount val="11"/>
                <c:pt idx="0">
                  <c:v>11.004351686369816</c:v>
                </c:pt>
                <c:pt idx="1">
                  <c:v>11.500091039165328</c:v>
                </c:pt>
                <c:pt idx="2">
                  <c:v>11.796157597084868</c:v>
                </c:pt>
                <c:pt idx="3">
                  <c:v>11.966086030793106</c:v>
                </c:pt>
              </c:numCache>
            </c:numRef>
          </c:yVal>
          <c:smooth val="0"/>
        </c:ser>
        <c:ser>
          <c:idx val="1"/>
          <c:order val="1"/>
          <c:tx>
            <c:strRef>
              <c:f>provRef!$D$111</c:f>
              <c:strCache>
                <c:ptCount val="1"/>
                <c:pt idx="0">
                  <c:v>Patriots gauge (approximate timing and approximate reading).  The lowest one is definitely happened (at approximately that time), the higher ones and their timing are extremely likely but not proven</c:v>
                </c:pt>
              </c:strCache>
            </c:strRef>
          </c:tx>
          <c:spPr>
            <a:ln w="19050" cap="rnd">
              <a:solidFill>
                <a:schemeClr val="tx1"/>
              </a:solidFill>
              <a:prstDash val="sysDot"/>
              <a:round/>
            </a:ln>
            <a:effectLst/>
          </c:spPr>
          <c:marker>
            <c:symbol val="none"/>
          </c:marker>
          <c:dPt>
            <c:idx val="4"/>
            <c:marker>
              <c:symbol val="square"/>
              <c:size val="5"/>
              <c:spPr>
                <a:solidFill>
                  <a:schemeClr val="tx1"/>
                </a:solidFill>
                <a:ln w="9525">
                  <a:solidFill>
                    <a:schemeClr val="tx1"/>
                  </a:solidFill>
                </a:ln>
                <a:effectLst/>
              </c:spPr>
            </c:marker>
            <c:bubble3D val="0"/>
          </c:dPt>
          <c:dPt>
            <c:idx val="5"/>
            <c:marker>
              <c:symbol val="square"/>
              <c:size val="5"/>
              <c:spPr>
                <a:noFill/>
                <a:ln w="9525">
                  <a:solidFill>
                    <a:schemeClr val="tx1"/>
                  </a:solidFill>
                </a:ln>
                <a:effectLst/>
              </c:spPr>
            </c:marker>
            <c:bubble3D val="0"/>
          </c:dPt>
          <c:dPt>
            <c:idx val="6"/>
            <c:marker>
              <c:symbol val="square"/>
              <c:size val="5"/>
              <c:spPr>
                <a:noFill/>
                <a:ln w="9525">
                  <a:solidFill>
                    <a:schemeClr val="tx1"/>
                  </a:solidFill>
                </a:ln>
                <a:effectLst/>
              </c:spPr>
            </c:marker>
            <c:bubble3D val="0"/>
          </c:dPt>
          <c:xVal>
            <c:numRef>
              <c:f>provRef!$B$112:$B$122</c:f>
              <c:numCache>
                <c:formatCode>0.0</c:formatCode>
                <c:ptCount val="11"/>
                <c:pt idx="0" formatCode="General">
                  <c:v>0</c:v>
                </c:pt>
                <c:pt idx="1">
                  <c:v>4</c:v>
                </c:pt>
                <c:pt idx="2">
                  <c:v>8</c:v>
                </c:pt>
                <c:pt idx="3">
                  <c:v>15</c:v>
                </c:pt>
                <c:pt idx="4">
                  <c:v>4</c:v>
                </c:pt>
                <c:pt idx="5">
                  <c:v>8.75</c:v>
                </c:pt>
                <c:pt idx="6">
                  <c:v>15</c:v>
                </c:pt>
                <c:pt idx="7" formatCode="General">
                  <c:v>0</c:v>
                </c:pt>
                <c:pt idx="8">
                  <c:v>8.25</c:v>
                </c:pt>
                <c:pt idx="9">
                  <c:v>8</c:v>
                </c:pt>
                <c:pt idx="10">
                  <c:v>8.125</c:v>
                </c:pt>
              </c:numCache>
            </c:numRef>
          </c:xVal>
          <c:yVal>
            <c:numRef>
              <c:f>provRef!$D$112:$D$122</c:f>
              <c:numCache>
                <c:formatCode>General</c:formatCode>
                <c:ptCount val="11"/>
                <c:pt idx="4" formatCode="_(* #,##0.00_);_(* \(#,##0.00\);_(* &quot;-&quot;??_);_(@_)">
                  <c:v>11.500091039165328</c:v>
                </c:pt>
                <c:pt idx="5" formatCode="_(* #,##0.00_);_(* \(#,##0.00\);_(* &quot;-&quot;??_);_(@_)">
                  <c:v>11.797469209817828</c:v>
                </c:pt>
                <c:pt idx="6" formatCode="_(* #,##0.00_);_(* \(#,##0.00\);_(* &quot;-&quot;??_);_(@_)">
                  <c:v>11.916086030793105</c:v>
                </c:pt>
              </c:numCache>
            </c:numRef>
          </c:yVal>
          <c:smooth val="0"/>
        </c:ser>
        <c:ser>
          <c:idx val="2"/>
          <c:order val="2"/>
          <c:tx>
            <c:strRef>
              <c:f>provRef!$E$111</c:f>
              <c:strCache>
                <c:ptCount val="1"/>
                <c:pt idx="0">
                  <c:v>Reported by Colts gauge</c:v>
                </c:pt>
              </c:strCache>
            </c:strRef>
          </c:tx>
          <c:spPr>
            <a:ln w="19050" cap="rnd">
              <a:noFill/>
              <a:round/>
            </a:ln>
            <a:effectLst/>
          </c:spPr>
          <c:marker>
            <c:symbol val="circle"/>
            <c:size val="5"/>
            <c:spPr>
              <a:solidFill>
                <a:schemeClr val="tx1"/>
              </a:solidFill>
              <a:ln w="9525">
                <a:solidFill>
                  <a:schemeClr val="tx1"/>
                </a:solidFill>
              </a:ln>
              <a:effectLst/>
            </c:spPr>
          </c:marker>
          <c:xVal>
            <c:numRef>
              <c:f>provRef!$B$112:$B$122</c:f>
              <c:numCache>
                <c:formatCode>0.0</c:formatCode>
                <c:ptCount val="11"/>
                <c:pt idx="0" formatCode="General">
                  <c:v>0</c:v>
                </c:pt>
                <c:pt idx="1">
                  <c:v>4</c:v>
                </c:pt>
                <c:pt idx="2">
                  <c:v>8</c:v>
                </c:pt>
                <c:pt idx="3">
                  <c:v>15</c:v>
                </c:pt>
                <c:pt idx="4">
                  <c:v>4</c:v>
                </c:pt>
                <c:pt idx="5">
                  <c:v>8.75</c:v>
                </c:pt>
                <c:pt idx="6">
                  <c:v>15</c:v>
                </c:pt>
                <c:pt idx="7" formatCode="General">
                  <c:v>0</c:v>
                </c:pt>
                <c:pt idx="8">
                  <c:v>8.25</c:v>
                </c:pt>
                <c:pt idx="9">
                  <c:v>8</c:v>
                </c:pt>
                <c:pt idx="10">
                  <c:v>8.125</c:v>
                </c:pt>
              </c:numCache>
            </c:numRef>
          </c:xVal>
          <c:yVal>
            <c:numRef>
              <c:f>provRef!$E$112:$E$122</c:f>
              <c:numCache>
                <c:formatCode>General</c:formatCode>
                <c:ptCount val="11"/>
                <c:pt idx="7">
                  <c:v>11.05</c:v>
                </c:pt>
              </c:numCache>
            </c:numRef>
          </c:yVal>
          <c:smooth val="0"/>
        </c:ser>
        <c:ser>
          <c:idx val="3"/>
          <c:order val="3"/>
          <c:tx>
            <c:strRef>
              <c:f>provRef!$F$111</c:f>
              <c:strCache>
                <c:ptCount val="1"/>
                <c:pt idx="0">
                  <c:v>The referee's "accurate" gauge</c:v>
                </c:pt>
              </c:strCache>
            </c:strRef>
          </c:tx>
          <c:spPr>
            <a:ln w="19050" cap="rnd">
              <a:noFill/>
              <a:round/>
            </a:ln>
            <a:effectLst/>
          </c:spPr>
          <c:marker>
            <c:symbol val="star"/>
            <c:size val="5"/>
            <c:spPr>
              <a:noFill/>
              <a:ln w="9525">
                <a:solidFill>
                  <a:schemeClr val="tx1"/>
                </a:solidFill>
              </a:ln>
              <a:effectLst/>
            </c:spPr>
          </c:marker>
          <c:xVal>
            <c:numRef>
              <c:f>provRef!$B$112:$B$122</c:f>
              <c:numCache>
                <c:formatCode>0.0</c:formatCode>
                <c:ptCount val="11"/>
                <c:pt idx="0" formatCode="General">
                  <c:v>0</c:v>
                </c:pt>
                <c:pt idx="1">
                  <c:v>4</c:v>
                </c:pt>
                <c:pt idx="2">
                  <c:v>8</c:v>
                </c:pt>
                <c:pt idx="3">
                  <c:v>15</c:v>
                </c:pt>
                <c:pt idx="4">
                  <c:v>4</c:v>
                </c:pt>
                <c:pt idx="5">
                  <c:v>8.75</c:v>
                </c:pt>
                <c:pt idx="6">
                  <c:v>15</c:v>
                </c:pt>
                <c:pt idx="7" formatCode="General">
                  <c:v>0</c:v>
                </c:pt>
                <c:pt idx="8">
                  <c:v>8.25</c:v>
                </c:pt>
                <c:pt idx="9">
                  <c:v>8</c:v>
                </c:pt>
                <c:pt idx="10">
                  <c:v>8.125</c:v>
                </c:pt>
              </c:numCache>
            </c:numRef>
          </c:xVal>
          <c:yVal>
            <c:numRef>
              <c:f>provRef!$F$112:$F$122</c:f>
              <c:numCache>
                <c:formatCode>General</c:formatCode>
                <c:ptCount val="11"/>
                <c:pt idx="9">
                  <c:v>11.45</c:v>
                </c:pt>
                <c:pt idx="10">
                  <c:v>11.35</c:v>
                </c:pt>
              </c:numCache>
            </c:numRef>
          </c:yVal>
          <c:smooth val="0"/>
        </c:ser>
        <c:ser>
          <c:idx val="4"/>
          <c:order val="4"/>
          <c:tx>
            <c:strRef>
              <c:f>provRef!$G$111</c:f>
              <c:strCache>
                <c:ptCount val="1"/>
                <c:pt idx="0">
                  <c:v>The referee's over-reading gauge (the one the referee said he used)</c:v>
                </c:pt>
              </c:strCache>
            </c:strRef>
          </c:tx>
          <c:spPr>
            <a:ln w="19050" cap="rnd">
              <a:noFill/>
              <a:round/>
            </a:ln>
            <a:effectLst/>
          </c:spPr>
          <c:marker>
            <c:symbol val="triangle"/>
            <c:size val="5"/>
            <c:spPr>
              <a:solidFill>
                <a:schemeClr val="tx1"/>
              </a:solidFill>
              <a:ln w="9525">
                <a:solidFill>
                  <a:schemeClr val="tx1"/>
                </a:solidFill>
              </a:ln>
              <a:effectLst/>
            </c:spPr>
          </c:marker>
          <c:xVal>
            <c:numRef>
              <c:f>provRef!$B$112:$B$122</c:f>
              <c:numCache>
                <c:formatCode>0.0</c:formatCode>
                <c:ptCount val="11"/>
                <c:pt idx="0" formatCode="General">
                  <c:v>0</c:v>
                </c:pt>
                <c:pt idx="1">
                  <c:v>4</c:v>
                </c:pt>
                <c:pt idx="2">
                  <c:v>8</c:v>
                </c:pt>
                <c:pt idx="3">
                  <c:v>15</c:v>
                </c:pt>
                <c:pt idx="4">
                  <c:v>4</c:v>
                </c:pt>
                <c:pt idx="5">
                  <c:v>8.75</c:v>
                </c:pt>
                <c:pt idx="6">
                  <c:v>15</c:v>
                </c:pt>
                <c:pt idx="7" formatCode="General">
                  <c:v>0</c:v>
                </c:pt>
                <c:pt idx="8">
                  <c:v>8.25</c:v>
                </c:pt>
                <c:pt idx="9">
                  <c:v>8</c:v>
                </c:pt>
                <c:pt idx="10">
                  <c:v>8.125</c:v>
                </c:pt>
              </c:numCache>
            </c:numRef>
          </c:xVal>
          <c:yVal>
            <c:numRef>
              <c:f>provRef!$G$112:$G$122</c:f>
              <c:numCache>
                <c:formatCode>General</c:formatCode>
                <c:ptCount val="11"/>
                <c:pt idx="8">
                  <c:v>11.75</c:v>
                </c:pt>
              </c:numCache>
            </c:numRef>
          </c:yVal>
          <c:smooth val="0"/>
        </c:ser>
        <c:dLbls>
          <c:showLegendKey val="0"/>
          <c:showVal val="0"/>
          <c:showCatName val="0"/>
          <c:showSerName val="0"/>
          <c:showPercent val="0"/>
          <c:showBubbleSize val="0"/>
        </c:dLbls>
        <c:axId val="405913384"/>
        <c:axId val="405913776"/>
      </c:scatterChart>
      <c:valAx>
        <c:axId val="4059133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Minutes</a:t>
                </a:r>
                <a:r>
                  <a:rPr lang="en-US" baseline="0">
                    <a:solidFill>
                      <a:schemeClr val="tx1"/>
                    </a:solidFill>
                  </a:rPr>
                  <a:t> after the intercepted ball came inside (see time line)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13776"/>
        <c:crosses val="autoZero"/>
        <c:crossBetween val="midCat"/>
      </c:valAx>
      <c:valAx>
        <c:axId val="405913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Pressure</a:t>
                </a:r>
                <a:r>
                  <a:rPr lang="en-US" baseline="0">
                    <a:solidFill>
                      <a:schemeClr val="tx1"/>
                    </a:solidFill>
                  </a:rPr>
                  <a:t> indicated by Colts or Patriots Gauges (psi)</a:t>
                </a:r>
                <a:endParaRPr lang="en-US">
                  <a:solidFill>
                    <a:schemeClr val="tx1"/>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13384"/>
        <c:crosses val="autoZero"/>
        <c:crossBetween val="midCat"/>
      </c:valAx>
      <c:spPr>
        <a:noFill/>
        <a:ln>
          <a:noFill/>
        </a:ln>
        <a:effectLst/>
      </c:spPr>
    </c:plotArea>
    <c:legend>
      <c:legendPos val="b"/>
      <c:layout>
        <c:manualLayout>
          <c:xMode val="edge"/>
          <c:yMode val="edge"/>
          <c:x val="8.3602580927384082E-2"/>
          <c:y val="0.57278268678736954"/>
          <c:w val="0.88842038495188103"/>
          <c:h val="0.348822454688030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The intercepted ball: Wells report data is inconclusive but strongly suggests innocence.  Presuming the NFL measured the intercepted ball as soon as they could, then either no air was removed, or air was removed almost exactly matching the amount by which</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842847769028871"/>
          <c:y val="0.28525025536261489"/>
          <c:w val="0.78834930008748905"/>
          <c:h val="0.29461800165684088"/>
        </c:manualLayout>
      </c:layout>
      <c:scatterChart>
        <c:scatterStyle val="lineMarker"/>
        <c:varyColors val="0"/>
        <c:ser>
          <c:idx val="0"/>
          <c:order val="0"/>
          <c:tx>
            <c:strRef>
              <c:f>provRef!$C$84</c:f>
              <c:strCache>
                <c:ptCount val="1"/>
                <c:pt idx="0">
                  <c:v>Non-tampered "wet" ball (or ball deflated by the amount the gauges disagree by), calculated from Exponent data after adusting for correct starting temperature</c:v>
                </c:pt>
              </c:strCache>
            </c:strRef>
          </c:tx>
          <c:spPr>
            <a:ln w="19050" cap="rnd">
              <a:solidFill>
                <a:schemeClr val="tx1"/>
              </a:solidFill>
              <a:prstDash val="dash"/>
              <a:round/>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provRef!$C$85:$C$100</c:f>
              <c:numCache>
                <c:formatCode>_(* #,##0.00_);_(* \(#,##0.00\);_(* "-"??_);_(@_)</c:formatCode>
                <c:ptCount val="16"/>
                <c:pt idx="0">
                  <c:v>11.004351686369816</c:v>
                </c:pt>
                <c:pt idx="1">
                  <c:v>11.500091039165328</c:v>
                </c:pt>
                <c:pt idx="2">
                  <c:v>11.796157597084868</c:v>
                </c:pt>
                <c:pt idx="3">
                  <c:v>12.005102553929792</c:v>
                </c:pt>
              </c:numCache>
            </c:numRef>
          </c:yVal>
          <c:smooth val="0"/>
        </c:ser>
        <c:ser>
          <c:idx val="1"/>
          <c:order val="1"/>
          <c:tx>
            <c:strRef>
              <c:f>provRef!$D$84</c:f>
              <c:strCache>
                <c:ptCount val="1"/>
                <c:pt idx="0">
                  <c:v>Pressures indicated by Wells report, with range of times they could have been measured</c:v>
                </c:pt>
              </c:strCache>
            </c:strRef>
          </c:tx>
          <c:spPr>
            <a:ln w="19050" cap="rnd">
              <a:solidFill>
                <a:schemeClr val="tx1"/>
              </a:solidFill>
              <a:round/>
            </a:ln>
            <a:effectLst/>
          </c:spPr>
          <c:marker>
            <c:symbol val="none"/>
          </c:marker>
          <c:dPt>
            <c:idx val="6"/>
            <c:marker>
              <c:symbol val="none"/>
            </c:marker>
            <c:bubble3D val="0"/>
            <c:spPr>
              <a:ln w="19050" cap="rnd">
                <a:noFill/>
                <a:round/>
              </a:ln>
              <a:effectLst/>
            </c:spPr>
          </c:dPt>
          <c:dPt>
            <c:idx val="8"/>
            <c:marker>
              <c:symbol val="none"/>
            </c:marker>
            <c:bubble3D val="0"/>
            <c:spPr>
              <a:ln w="19050" cap="rnd">
                <a:noFill/>
                <a:round/>
              </a:ln>
              <a:effectLst/>
            </c:spPr>
          </c:dPt>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provRef!$D$85:$D$100</c:f>
              <c:numCache>
                <c:formatCode>General</c:formatCode>
                <c:ptCount val="16"/>
                <c:pt idx="4">
                  <c:v>11.35</c:v>
                </c:pt>
                <c:pt idx="5">
                  <c:v>11.35</c:v>
                </c:pt>
                <c:pt idx="6">
                  <c:v>11.45</c:v>
                </c:pt>
                <c:pt idx="7">
                  <c:v>11.45</c:v>
                </c:pt>
                <c:pt idx="8">
                  <c:v>11.75</c:v>
                </c:pt>
                <c:pt idx="9">
                  <c:v>11.75</c:v>
                </c:pt>
              </c:numCache>
            </c:numRef>
          </c:yVal>
          <c:smooth val="0"/>
        </c:ser>
        <c:ser>
          <c:idx val="2"/>
          <c:order val="2"/>
          <c:tx>
            <c:strRef>
              <c:f>provRef!$E$84</c:f>
              <c:strCache>
                <c:ptCount val="1"/>
                <c:pt idx="0">
                  <c:v>Reported by Colts gauge</c:v>
                </c:pt>
              </c:strCache>
            </c:strRef>
          </c:tx>
          <c:spPr>
            <a:ln w="19050" cap="rnd">
              <a:noFill/>
              <a:round/>
            </a:ln>
            <a:effectLst/>
          </c:spPr>
          <c:marker>
            <c:symbol val="circle"/>
            <c:size val="5"/>
            <c:spPr>
              <a:solidFill>
                <a:schemeClr val="tx1"/>
              </a:solidFill>
              <a:ln w="9525">
                <a:solidFill>
                  <a:schemeClr val="tx1"/>
                </a:solidFill>
              </a:ln>
              <a:effectLst/>
            </c:spPr>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provRef!$E$85:$E$100</c:f>
              <c:numCache>
                <c:formatCode>General</c:formatCode>
                <c:ptCount val="16"/>
                <c:pt idx="11">
                  <c:v>11.05</c:v>
                </c:pt>
              </c:numCache>
            </c:numRef>
          </c:yVal>
          <c:smooth val="0"/>
        </c:ser>
        <c:ser>
          <c:idx val="3"/>
          <c:order val="3"/>
          <c:tx>
            <c:strRef>
              <c:f>provRef!$F$84</c:f>
              <c:strCache>
                <c:ptCount val="1"/>
                <c:pt idx="0">
                  <c:v>The report makes it appear 11.75 could have been measured early, in addition to the 11.45 and 11.35 mentioned in the report.  But the gauges are too consistent to vary from 11.35 to 11.75 on the same ball at the same time</c:v>
                </c:pt>
              </c:strCache>
            </c:strRef>
          </c:tx>
          <c:spPr>
            <a:ln w="19050" cap="rnd">
              <a:solidFill>
                <a:schemeClr val="accent4"/>
              </a:solidFill>
              <a:round/>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provRef!$F$85:$F$100</c:f>
              <c:numCache>
                <c:formatCode>General</c:formatCode>
                <c:ptCount val="16"/>
              </c:numCache>
            </c:numRef>
          </c:yVal>
          <c:smooth val="0"/>
        </c:ser>
        <c:ser>
          <c:idx val="4"/>
          <c:order val="4"/>
          <c:tx>
            <c:strRef>
              <c:f>provRef!$G$84</c:f>
              <c:strCache>
                <c:ptCount val="1"/>
                <c:pt idx="0">
                  <c:v>Work backwards to what the real pressure was when the Colts measured</c:v>
                </c:pt>
              </c:strCache>
            </c:strRef>
          </c:tx>
          <c:spPr>
            <a:ln w="19050" cap="rnd">
              <a:solidFill>
                <a:schemeClr val="accent5"/>
              </a:solidFill>
              <a:round/>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provRef!$G$85:$G$100</c:f>
              <c:numCache>
                <c:formatCode>General</c:formatCode>
                <c:ptCount val="16"/>
                <c:pt idx="13" formatCode="_(* #,##0.00_);_(* \(#,##0.00\);_(* &quot;-&quot;??_);_(@_)">
                  <c:v>11.422491428571428</c:v>
                </c:pt>
                <c:pt idx="14" formatCode="_(* #,##0.00_);_(* \(#,##0.00\);_(* &quot;-&quot;??_);_(@_)">
                  <c:v>11.126424870651888</c:v>
                </c:pt>
                <c:pt idx="15" formatCode="_(* #,##0.00_);_(* \(#,##0.00\);_(* &quot;-&quot;??_);_(@_)">
                  <c:v>10.630685517856376</c:v>
                </c:pt>
              </c:numCache>
            </c:numRef>
          </c:yVal>
          <c:smooth val="0"/>
        </c:ser>
        <c:dLbls>
          <c:showLegendKey val="0"/>
          <c:showVal val="0"/>
          <c:showCatName val="0"/>
          <c:showSerName val="0"/>
          <c:showPercent val="0"/>
          <c:showBubbleSize val="0"/>
        </c:dLbls>
        <c:axId val="402947848"/>
        <c:axId val="402943928"/>
      </c:scatterChart>
      <c:valAx>
        <c:axId val="4029478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Minutes</a:t>
                </a:r>
                <a:r>
                  <a:rPr lang="en-US" baseline="0">
                    <a:solidFill>
                      <a:schemeClr val="tx1"/>
                    </a:solidFill>
                  </a:rPr>
                  <a:t> after the intercepted ball came inside (see time line)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3928"/>
        <c:crosses val="autoZero"/>
        <c:crossBetween val="midCat"/>
      </c:valAx>
      <c:valAx>
        <c:axId val="402943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Pressure</a:t>
                </a:r>
                <a:r>
                  <a:rPr lang="en-US" baseline="0">
                    <a:solidFill>
                      <a:schemeClr val="tx1"/>
                    </a:solidFill>
                  </a:rPr>
                  <a:t> indicated by Colts or Patriots Gauges (psi)</a:t>
                </a:r>
                <a:endParaRPr lang="en-US">
                  <a:solidFill>
                    <a:schemeClr val="tx1"/>
                  </a:solidFill>
                </a:endParaRPr>
              </a:p>
            </c:rich>
          </c:tx>
          <c:layout>
            <c:manualLayout>
              <c:xMode val="edge"/>
              <c:yMode val="edge"/>
              <c:x val="3.0281426688865857E-2"/>
              <c:y val="0.239438776421207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7848"/>
        <c:crosses val="autoZero"/>
        <c:crossBetween val="midCat"/>
      </c:valAx>
      <c:spPr>
        <a:noFill/>
        <a:ln>
          <a:noFill/>
        </a:ln>
        <a:effectLst/>
      </c:spPr>
    </c:plotArea>
    <c:legend>
      <c:legendPos val="b"/>
      <c:layout>
        <c:manualLayout>
          <c:xMode val="edge"/>
          <c:yMode val="edge"/>
          <c:x val="6.4158131761419032E-2"/>
          <c:y val="0.67435638873202564"/>
          <c:w val="0.88480577796124116"/>
          <c:h val="0.325643526700201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The intercepted ball: Wells report data is inconclusive but strongly suggests innocence.  Presuming the NFL measured the intercepted ball as soon as they could, then either no air was removed, or air was removed almost exactly matching the amount by which</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842847769028871"/>
          <c:y val="0.28525025536261489"/>
          <c:w val="0.78834930008748905"/>
          <c:h val="0.29461800165684088"/>
        </c:manualLayout>
      </c:layout>
      <c:scatterChart>
        <c:scatterStyle val="lineMarker"/>
        <c:varyColors val="0"/>
        <c:ser>
          <c:idx val="0"/>
          <c:order val="0"/>
          <c:tx>
            <c:strRef>
              <c:f>provRef!$C$84</c:f>
              <c:strCache>
                <c:ptCount val="1"/>
                <c:pt idx="0">
                  <c:v>Non-tampered "wet" ball (or ball deflated by the amount the gauges disagree by), calculated from Exponent data after adusting for correct starting temperature</c:v>
                </c:pt>
              </c:strCache>
            </c:strRef>
          </c:tx>
          <c:spPr>
            <a:ln w="19050" cap="rnd">
              <a:solidFill>
                <a:schemeClr val="tx1"/>
              </a:solidFill>
              <a:prstDash val="dash"/>
              <a:round/>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provRef!$C$85:$C$100</c:f>
              <c:numCache>
                <c:formatCode>_(* #,##0.00_);_(* \(#,##0.00\);_(* "-"??_);_(@_)</c:formatCode>
                <c:ptCount val="16"/>
                <c:pt idx="0">
                  <c:v>11.004351686369816</c:v>
                </c:pt>
                <c:pt idx="1">
                  <c:v>11.500091039165328</c:v>
                </c:pt>
                <c:pt idx="2">
                  <c:v>11.796157597084868</c:v>
                </c:pt>
                <c:pt idx="3">
                  <c:v>12.005102553929792</c:v>
                </c:pt>
              </c:numCache>
            </c:numRef>
          </c:yVal>
          <c:smooth val="0"/>
        </c:ser>
        <c:ser>
          <c:idx val="1"/>
          <c:order val="1"/>
          <c:tx>
            <c:strRef>
              <c:f>provRef!$D$84</c:f>
              <c:strCache>
                <c:ptCount val="1"/>
                <c:pt idx="0">
                  <c:v>Pressures indicated by Wells report, with range of times they could have been measured</c:v>
                </c:pt>
              </c:strCache>
            </c:strRef>
          </c:tx>
          <c:spPr>
            <a:ln w="19050" cap="rnd">
              <a:solidFill>
                <a:schemeClr val="tx1"/>
              </a:solidFill>
              <a:round/>
            </a:ln>
            <a:effectLst/>
          </c:spPr>
          <c:marker>
            <c:symbol val="none"/>
          </c:marker>
          <c:dPt>
            <c:idx val="6"/>
            <c:marker>
              <c:symbol val="none"/>
            </c:marker>
            <c:bubble3D val="0"/>
            <c:spPr>
              <a:ln w="19050" cap="rnd">
                <a:noFill/>
                <a:round/>
              </a:ln>
              <a:effectLst/>
            </c:spPr>
          </c:dPt>
          <c:dPt>
            <c:idx val="8"/>
            <c:marker>
              <c:symbol val="none"/>
            </c:marker>
            <c:bubble3D val="0"/>
            <c:spPr>
              <a:ln w="19050" cap="rnd">
                <a:noFill/>
                <a:round/>
              </a:ln>
              <a:effectLst/>
            </c:spPr>
          </c:dPt>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provRef!$D$85:$D$100</c:f>
              <c:numCache>
                <c:formatCode>General</c:formatCode>
                <c:ptCount val="16"/>
                <c:pt idx="4">
                  <c:v>11.35</c:v>
                </c:pt>
                <c:pt idx="5">
                  <c:v>11.35</c:v>
                </c:pt>
                <c:pt idx="6">
                  <c:v>11.45</c:v>
                </c:pt>
                <c:pt idx="7">
                  <c:v>11.45</c:v>
                </c:pt>
                <c:pt idx="8">
                  <c:v>11.75</c:v>
                </c:pt>
                <c:pt idx="9">
                  <c:v>11.75</c:v>
                </c:pt>
              </c:numCache>
            </c:numRef>
          </c:yVal>
          <c:smooth val="0"/>
        </c:ser>
        <c:ser>
          <c:idx val="2"/>
          <c:order val="2"/>
          <c:tx>
            <c:strRef>
              <c:f>provRef!$E$84</c:f>
              <c:strCache>
                <c:ptCount val="1"/>
                <c:pt idx="0">
                  <c:v>Reported by Colts gauge</c:v>
                </c:pt>
              </c:strCache>
            </c:strRef>
          </c:tx>
          <c:spPr>
            <a:ln w="19050" cap="rnd">
              <a:noFill/>
              <a:round/>
            </a:ln>
            <a:effectLst/>
          </c:spPr>
          <c:marker>
            <c:symbol val="circle"/>
            <c:size val="5"/>
            <c:spPr>
              <a:solidFill>
                <a:schemeClr val="tx1"/>
              </a:solidFill>
              <a:ln w="9525">
                <a:solidFill>
                  <a:schemeClr val="tx1"/>
                </a:solidFill>
              </a:ln>
              <a:effectLst/>
            </c:spPr>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provRef!$E$85:$E$100</c:f>
              <c:numCache>
                <c:formatCode>General</c:formatCode>
                <c:ptCount val="16"/>
                <c:pt idx="11">
                  <c:v>11.05</c:v>
                </c:pt>
              </c:numCache>
            </c:numRef>
          </c:yVal>
          <c:smooth val="0"/>
        </c:ser>
        <c:ser>
          <c:idx val="3"/>
          <c:order val="3"/>
          <c:tx>
            <c:strRef>
              <c:f>provRef!$F$84</c:f>
              <c:strCache>
                <c:ptCount val="1"/>
                <c:pt idx="0">
                  <c:v>The report makes it appear 11.75 could have been measured early, in addition to the 11.45 and 11.35 mentioned in the report.  But the gauges are too consistent to vary from 11.35 to 11.75 on the same ball at the same time</c:v>
                </c:pt>
              </c:strCache>
            </c:strRef>
          </c:tx>
          <c:spPr>
            <a:ln w="19050" cap="rnd">
              <a:solidFill>
                <a:schemeClr val="accent4"/>
              </a:solidFill>
              <a:round/>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provRef!$F$85:$F$100</c:f>
              <c:numCache>
                <c:formatCode>General</c:formatCode>
                <c:ptCount val="16"/>
              </c:numCache>
            </c:numRef>
          </c:yVal>
          <c:smooth val="0"/>
        </c:ser>
        <c:ser>
          <c:idx val="4"/>
          <c:order val="4"/>
          <c:tx>
            <c:strRef>
              <c:f>provRef!$G$84</c:f>
              <c:strCache>
                <c:ptCount val="1"/>
                <c:pt idx="0">
                  <c:v>Work backwards to what the real pressure was when the Colts measured</c:v>
                </c:pt>
              </c:strCache>
            </c:strRef>
          </c:tx>
          <c:spPr>
            <a:ln w="19050" cap="rnd">
              <a:solidFill>
                <a:schemeClr val="tx1"/>
              </a:solidFill>
              <a:prstDash val="sysDot"/>
              <a:round/>
              <a:tailEnd type="triangle"/>
            </a:ln>
            <a:effectLst/>
          </c:spPr>
          <c:marker>
            <c:symbol val="none"/>
          </c:marker>
          <c:xVal>
            <c:numRef>
              <c:f>provRef!$B$85:$B$100</c:f>
              <c:numCache>
                <c:formatCode>0.0</c:formatCode>
                <c:ptCount val="16"/>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pt idx="13">
                  <c:v>8.18</c:v>
                </c:pt>
                <c:pt idx="14">
                  <c:v>4</c:v>
                </c:pt>
                <c:pt idx="15" formatCode="General">
                  <c:v>0</c:v>
                </c:pt>
              </c:numCache>
            </c:numRef>
          </c:xVal>
          <c:yVal>
            <c:numRef>
              <c:f>provRef!$G$85:$G$100</c:f>
              <c:numCache>
                <c:formatCode>General</c:formatCode>
                <c:ptCount val="16"/>
                <c:pt idx="13" formatCode="_(* #,##0.00_);_(* \(#,##0.00\);_(* &quot;-&quot;??_);_(@_)">
                  <c:v>11.422491428571428</c:v>
                </c:pt>
                <c:pt idx="14" formatCode="_(* #,##0.00_);_(* \(#,##0.00\);_(* &quot;-&quot;??_);_(@_)">
                  <c:v>11.126424870651888</c:v>
                </c:pt>
                <c:pt idx="15" formatCode="_(* #,##0.00_);_(* \(#,##0.00\);_(* &quot;-&quot;??_);_(@_)">
                  <c:v>10.630685517856376</c:v>
                </c:pt>
              </c:numCache>
            </c:numRef>
          </c:yVal>
          <c:smooth val="0"/>
        </c:ser>
        <c:dLbls>
          <c:showLegendKey val="0"/>
          <c:showVal val="0"/>
          <c:showCatName val="0"/>
          <c:showSerName val="0"/>
          <c:showPercent val="0"/>
          <c:showBubbleSize val="0"/>
        </c:dLbls>
        <c:axId val="402001648"/>
        <c:axId val="558663200"/>
      </c:scatterChart>
      <c:valAx>
        <c:axId val="402001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Minutes</a:t>
                </a:r>
                <a:r>
                  <a:rPr lang="en-US" baseline="0">
                    <a:solidFill>
                      <a:schemeClr val="tx1"/>
                    </a:solidFill>
                  </a:rPr>
                  <a:t> after the intercepted ball came inside (see time line)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3200"/>
        <c:crosses val="autoZero"/>
        <c:crossBetween val="midCat"/>
      </c:valAx>
      <c:valAx>
        <c:axId val="55866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Pressure</a:t>
                </a:r>
                <a:r>
                  <a:rPr lang="en-US" baseline="0">
                    <a:solidFill>
                      <a:schemeClr val="tx1"/>
                    </a:solidFill>
                  </a:rPr>
                  <a:t> indicated by Colts or Patriots Gauges (psi)</a:t>
                </a:r>
                <a:endParaRPr lang="en-US">
                  <a:solidFill>
                    <a:schemeClr val="tx1"/>
                  </a:solidFill>
                </a:endParaRPr>
              </a:p>
            </c:rich>
          </c:tx>
          <c:layout>
            <c:manualLayout>
              <c:xMode val="edge"/>
              <c:yMode val="edge"/>
              <c:x val="3.0281426688865857E-2"/>
              <c:y val="0.239438776421207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001648"/>
        <c:crosses val="autoZero"/>
        <c:crossBetween val="midCat"/>
      </c:valAx>
      <c:spPr>
        <a:noFill/>
        <a:ln>
          <a:noFill/>
        </a:ln>
        <a:effectLst/>
      </c:spPr>
    </c:plotArea>
    <c:legend>
      <c:legendPos val="b"/>
      <c:layout>
        <c:manualLayout>
          <c:xMode val="edge"/>
          <c:yMode val="edge"/>
          <c:x val="6.4158131761419032E-2"/>
          <c:y val="0.67435638873202564"/>
          <c:w val="0.88480577796124116"/>
          <c:h val="0.325643526700201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'warming curves'!$G$14</c:f>
              <c:strCache>
                <c:ptCount val="1"/>
                <c:pt idx="0">
                  <c:v>Fraction of total future gain gained since start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'warming curves'!$F$15:$F$21</c:f>
              <c:numCache>
                <c:formatCode>General</c:formatCode>
                <c:ptCount val="7"/>
                <c:pt idx="0">
                  <c:v>0</c:v>
                </c:pt>
                <c:pt idx="1">
                  <c:v>0.5</c:v>
                </c:pt>
                <c:pt idx="2">
                  <c:v>3</c:v>
                </c:pt>
                <c:pt idx="3">
                  <c:v>6</c:v>
                </c:pt>
                <c:pt idx="4">
                  <c:v>9</c:v>
                </c:pt>
                <c:pt idx="5">
                  <c:v>12</c:v>
                </c:pt>
                <c:pt idx="6">
                  <c:v>27</c:v>
                </c:pt>
              </c:numCache>
            </c:numRef>
          </c:xVal>
          <c:yVal>
            <c:numRef>
              <c:f>'warming curves'!$G$15:$G$21</c:f>
              <c:numCache>
                <c:formatCode>0%</c:formatCode>
                <c:ptCount val="7"/>
                <c:pt idx="0" formatCode="General">
                  <c:v>0</c:v>
                </c:pt>
                <c:pt idx="1">
                  <c:v>2.885605383917856E-2</c:v>
                </c:pt>
                <c:pt idx="2">
                  <c:v>0.28134652493198486</c:v>
                </c:pt>
                <c:pt idx="3">
                  <c:v>0.47612488834643535</c:v>
                </c:pt>
                <c:pt idx="4">
                  <c:v>0.59154910370314706</c:v>
                </c:pt>
                <c:pt idx="5">
                  <c:v>0.6521468167654203</c:v>
                </c:pt>
                <c:pt idx="6">
                  <c:v>0.75025739981862594</c:v>
                </c:pt>
              </c:numCache>
            </c:numRef>
          </c:yVal>
          <c:smooth val="0"/>
        </c:ser>
        <c:dLbls>
          <c:showLegendKey val="0"/>
          <c:showVal val="0"/>
          <c:showCatName val="0"/>
          <c:showSerName val="0"/>
          <c:showPercent val="0"/>
          <c:showBubbleSize val="0"/>
        </c:dLbls>
        <c:axId val="406062744"/>
        <c:axId val="406067840"/>
      </c:scatterChart>
      <c:valAx>
        <c:axId val="406062744"/>
        <c:scaling>
          <c:orientation val="minMax"/>
          <c:max val="14"/>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7840"/>
        <c:crosses val="autoZero"/>
        <c:crossBetween val="midCat"/>
      </c:valAx>
      <c:valAx>
        <c:axId val="406067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27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'warming curves'!$G$33</c:f>
              <c:strCache>
                <c:ptCount val="1"/>
                <c:pt idx="0">
                  <c:v>% of total future gain gained since start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'warming curves'!$F$34:$F$39</c:f>
              <c:numCache>
                <c:formatCode>General</c:formatCode>
                <c:ptCount val="6"/>
                <c:pt idx="0">
                  <c:v>0</c:v>
                </c:pt>
                <c:pt idx="1">
                  <c:v>0.5</c:v>
                </c:pt>
                <c:pt idx="2">
                  <c:v>3</c:v>
                </c:pt>
                <c:pt idx="3">
                  <c:v>6</c:v>
                </c:pt>
                <c:pt idx="4">
                  <c:v>9</c:v>
                </c:pt>
                <c:pt idx="5">
                  <c:v>12</c:v>
                </c:pt>
              </c:numCache>
            </c:numRef>
          </c:xVal>
          <c:yVal>
            <c:numRef>
              <c:f>'warming curves'!$G$34:$G$39</c:f>
              <c:numCache>
                <c:formatCode>0%</c:formatCode>
                <c:ptCount val="6"/>
                <c:pt idx="0" formatCode="General">
                  <c:v>0</c:v>
                </c:pt>
                <c:pt idx="1">
                  <c:v>3.3735616942312766E-2</c:v>
                </c:pt>
                <c:pt idx="2">
                  <c:v>0.33964332989379142</c:v>
                </c:pt>
                <c:pt idx="3">
                  <c:v>0.60209499390262933</c:v>
                </c:pt>
                <c:pt idx="4">
                  <c:v>0.74103999249554342</c:v>
                </c:pt>
                <c:pt idx="5">
                  <c:v>0.82595082496899053</c:v>
                </c:pt>
              </c:numCache>
            </c:numRef>
          </c:yVal>
          <c:smooth val="0"/>
        </c:ser>
        <c:dLbls>
          <c:showLegendKey val="0"/>
          <c:showVal val="0"/>
          <c:showCatName val="0"/>
          <c:showSerName val="0"/>
          <c:showPercent val="0"/>
          <c:showBubbleSize val="0"/>
        </c:dLbls>
        <c:axId val="406061960"/>
        <c:axId val="406061176"/>
      </c:scatterChart>
      <c:valAx>
        <c:axId val="406061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1176"/>
        <c:crosses val="autoZero"/>
        <c:crossBetween val="midCat"/>
      </c:valAx>
      <c:valAx>
        <c:axId val="406061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19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'warming curves'!$G$45</c:f>
              <c:strCache>
                <c:ptCount val="1"/>
                <c:pt idx="0">
                  <c:v>% of total future gain gained since start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'warming curves'!$F$46:$F$51</c:f>
              <c:numCache>
                <c:formatCode>General</c:formatCode>
                <c:ptCount val="6"/>
                <c:pt idx="0">
                  <c:v>0</c:v>
                </c:pt>
                <c:pt idx="1">
                  <c:v>3</c:v>
                </c:pt>
                <c:pt idx="2">
                  <c:v>6</c:v>
                </c:pt>
                <c:pt idx="3">
                  <c:v>9</c:v>
                </c:pt>
                <c:pt idx="4">
                  <c:v>12</c:v>
                </c:pt>
                <c:pt idx="5">
                  <c:v>13.5</c:v>
                </c:pt>
              </c:numCache>
            </c:numRef>
          </c:xVal>
          <c:yVal>
            <c:numRef>
              <c:f>'warming curves'!$G$46:$G$51</c:f>
              <c:numCache>
                <c:formatCode>0%</c:formatCode>
                <c:ptCount val="6"/>
                <c:pt idx="0">
                  <c:v>0</c:v>
                </c:pt>
                <c:pt idx="1">
                  <c:v>0.27316263697423809</c:v>
                </c:pt>
                <c:pt idx="2">
                  <c:v>0.474719534159114</c:v>
                </c:pt>
                <c:pt idx="3">
                  <c:v>0.57815004718819463</c:v>
                </c:pt>
                <c:pt idx="4">
                  <c:v>0.63914752923098617</c:v>
                </c:pt>
                <c:pt idx="5">
                  <c:v>0.66566817359741792</c:v>
                </c:pt>
              </c:numCache>
            </c:numRef>
          </c:yVal>
          <c:smooth val="0"/>
        </c:ser>
        <c:dLbls>
          <c:showLegendKey val="0"/>
          <c:showVal val="0"/>
          <c:showCatName val="0"/>
          <c:showSerName val="0"/>
          <c:showPercent val="0"/>
          <c:showBubbleSize val="0"/>
        </c:dLbls>
        <c:axId val="406068232"/>
        <c:axId val="406063920"/>
      </c:scatterChart>
      <c:valAx>
        <c:axId val="4060682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3920"/>
        <c:crosses val="autoZero"/>
        <c:crossBetween val="midCat"/>
      </c:valAx>
      <c:valAx>
        <c:axId val="406063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8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6318897637795245E-3"/>
          <c:y val="0.1018518518518518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'warming curves'!$G$55</c:f>
              <c:strCache>
                <c:ptCount val="1"/>
                <c:pt idx="0">
                  <c:v>% of total future gain gained since start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'warming curves'!$F$56:$F$61</c:f>
              <c:numCache>
                <c:formatCode>General</c:formatCode>
                <c:ptCount val="6"/>
                <c:pt idx="0">
                  <c:v>0</c:v>
                </c:pt>
                <c:pt idx="1">
                  <c:v>3</c:v>
                </c:pt>
                <c:pt idx="2">
                  <c:v>6</c:v>
                </c:pt>
                <c:pt idx="3">
                  <c:v>9</c:v>
                </c:pt>
                <c:pt idx="4">
                  <c:v>12</c:v>
                </c:pt>
                <c:pt idx="5">
                  <c:v>13.5</c:v>
                </c:pt>
              </c:numCache>
            </c:numRef>
          </c:xVal>
          <c:yVal>
            <c:numRef>
              <c:f>'warming curves'!$G$56:$G$61</c:f>
              <c:numCache>
                <c:formatCode>0%</c:formatCode>
                <c:ptCount val="6"/>
                <c:pt idx="0" formatCode="General">
                  <c:v>0</c:v>
                </c:pt>
                <c:pt idx="1">
                  <c:v>0.3437757659205456</c:v>
                </c:pt>
                <c:pt idx="2">
                  <c:v>0.61449918158297345</c:v>
                </c:pt>
                <c:pt idx="3">
                  <c:v>0.7691982762472197</c:v>
                </c:pt>
                <c:pt idx="4">
                  <c:v>0.85084502065334966</c:v>
                </c:pt>
                <c:pt idx="5">
                  <c:v>0.8787768016343942</c:v>
                </c:pt>
              </c:numCache>
            </c:numRef>
          </c:yVal>
          <c:smooth val="0"/>
        </c:ser>
        <c:dLbls>
          <c:showLegendKey val="0"/>
          <c:showVal val="0"/>
          <c:showCatName val="0"/>
          <c:showSerName val="0"/>
          <c:showPercent val="0"/>
          <c:showBubbleSize val="0"/>
        </c:dLbls>
        <c:axId val="406061568"/>
        <c:axId val="406064312"/>
      </c:scatterChart>
      <c:valAx>
        <c:axId val="406061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4312"/>
        <c:crosses val="autoZero"/>
        <c:crossBetween val="midCat"/>
      </c:valAx>
      <c:valAx>
        <c:axId val="406064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1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'gauge calib'!$G$28</c:f>
              <c:strCache>
                <c:ptCount val="1"/>
                <c:pt idx="0">
                  <c:v>Gauge says higher by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'gauge calib'!$F$31:$F$46</c:f>
              <c:numCache>
                <c:formatCode>General</c:formatCode>
                <c:ptCount val="16"/>
                <c:pt idx="0">
                  <c:v>8</c:v>
                </c:pt>
                <c:pt idx="1">
                  <c:v>9</c:v>
                </c:pt>
                <c:pt idx="2">
                  <c:v>9.5</c:v>
                </c:pt>
                <c:pt idx="3">
                  <c:v>10</c:v>
                </c:pt>
                <c:pt idx="4">
                  <c:v>10.5</c:v>
                </c:pt>
                <c:pt idx="5">
                  <c:v>10.6</c:v>
                </c:pt>
                <c:pt idx="6" formatCode="_(* #,##0.00_);_(* \(#,##0.00\);_(* &quot;-&quot;??_);_(@_)">
                  <c:v>11.175000000000001</c:v>
                </c:pt>
                <c:pt idx="7">
                  <c:v>11.5</c:v>
                </c:pt>
                <c:pt idx="8">
                  <c:v>12</c:v>
                </c:pt>
                <c:pt idx="9">
                  <c:v>12.151785714285714</c:v>
                </c:pt>
                <c:pt idx="10">
                  <c:v>12.5</c:v>
                </c:pt>
                <c:pt idx="11">
                  <c:v>13</c:v>
                </c:pt>
                <c:pt idx="12">
                  <c:v>13.528301886792454</c:v>
                </c:pt>
                <c:pt idx="13">
                  <c:v>14</c:v>
                </c:pt>
                <c:pt idx="14">
                  <c:v>8</c:v>
                </c:pt>
                <c:pt idx="15">
                  <c:v>14</c:v>
                </c:pt>
              </c:numCache>
            </c:numRef>
          </c:xVal>
          <c:yVal>
            <c:numRef>
              <c:f>'gauge calib'!$G$31:$G$46</c:f>
              <c:numCache>
                <c:formatCode>_(* #,##0.00_);_(* \(#,##0.00\);_(* "-"??_);_(@_)</c:formatCode>
                <c:ptCount val="16"/>
                <c:pt idx="0">
                  <c:v>8.6206896551724199E-2</c:v>
                </c:pt>
                <c:pt idx="1">
                  <c:v>0.1724137931034484</c:v>
                </c:pt>
                <c:pt idx="2">
                  <c:v>0.2413793103448274</c:v>
                </c:pt>
                <c:pt idx="3">
                  <c:v>0.2586206896551726</c:v>
                </c:pt>
                <c:pt idx="4">
                  <c:v>0.25</c:v>
                </c:pt>
                <c:pt idx="5">
                  <c:v>0.21034482758620676</c:v>
                </c:pt>
                <c:pt idx="6">
                  <c:v>0.27500000000000002</c:v>
                </c:pt>
                <c:pt idx="7">
                  <c:v>0.27500000000000002</c:v>
                </c:pt>
                <c:pt idx="8">
                  <c:v>0.3275862068965516</c:v>
                </c:pt>
                <c:pt idx="9">
                  <c:v>0.34821428571428648</c:v>
                </c:pt>
                <c:pt idx="10">
                  <c:v>0.3448275862068968</c:v>
                </c:pt>
                <c:pt idx="11">
                  <c:v>0.31034482758620641</c:v>
                </c:pt>
                <c:pt idx="12">
                  <c:v>0.4716981132075464</c:v>
                </c:pt>
                <c:pt idx="13">
                  <c:v>0.431034482758621</c:v>
                </c:pt>
              </c:numCache>
            </c:numRef>
          </c:yVal>
          <c:smooth val="0"/>
        </c:ser>
        <c:ser>
          <c:idx val="1"/>
          <c:order val="1"/>
          <c:tx>
            <c:strRef>
              <c:f>'gauge calib'!$I$28</c:f>
              <c:strCache>
                <c:ptCount val="1"/>
                <c:pt idx="0">
                  <c:v>Fit</c:v>
                </c:pt>
              </c:strCache>
            </c:strRef>
          </c:tx>
          <c:spPr>
            <a:ln w="19050" cap="rnd">
              <a:solidFill>
                <a:schemeClr val="accent1"/>
              </a:solidFill>
              <a:round/>
            </a:ln>
            <a:effectLst/>
          </c:spPr>
          <c:marker>
            <c:symbol val="circle"/>
            <c:size val="5"/>
            <c:spPr>
              <a:solidFill>
                <a:schemeClr val="accent2"/>
              </a:solidFill>
              <a:ln w="9525">
                <a:solidFill>
                  <a:schemeClr val="accent2"/>
                </a:solidFill>
              </a:ln>
              <a:effectLst/>
            </c:spPr>
          </c:marker>
          <c:xVal>
            <c:numRef>
              <c:f>'gauge calib'!$F$31:$F$46</c:f>
              <c:numCache>
                <c:formatCode>General</c:formatCode>
                <c:ptCount val="16"/>
                <c:pt idx="0">
                  <c:v>8</c:v>
                </c:pt>
                <c:pt idx="1">
                  <c:v>9</c:v>
                </c:pt>
                <c:pt idx="2">
                  <c:v>9.5</c:v>
                </c:pt>
                <c:pt idx="3">
                  <c:v>10</c:v>
                </c:pt>
                <c:pt idx="4">
                  <c:v>10.5</c:v>
                </c:pt>
                <c:pt idx="5">
                  <c:v>10.6</c:v>
                </c:pt>
                <c:pt idx="6" formatCode="_(* #,##0.00_);_(* \(#,##0.00\);_(* &quot;-&quot;??_);_(@_)">
                  <c:v>11.175000000000001</c:v>
                </c:pt>
                <c:pt idx="7">
                  <c:v>11.5</c:v>
                </c:pt>
                <c:pt idx="8">
                  <c:v>12</c:v>
                </c:pt>
                <c:pt idx="9">
                  <c:v>12.151785714285714</c:v>
                </c:pt>
                <c:pt idx="10">
                  <c:v>12.5</c:v>
                </c:pt>
                <c:pt idx="11">
                  <c:v>13</c:v>
                </c:pt>
                <c:pt idx="12">
                  <c:v>13.528301886792454</c:v>
                </c:pt>
                <c:pt idx="13">
                  <c:v>14</c:v>
                </c:pt>
                <c:pt idx="14">
                  <c:v>8</c:v>
                </c:pt>
                <c:pt idx="15">
                  <c:v>14</c:v>
                </c:pt>
              </c:numCache>
            </c:numRef>
          </c:xVal>
          <c:yVal>
            <c:numRef>
              <c:f>'gauge calib'!$I$31:$I$46</c:f>
              <c:numCache>
                <c:formatCode>_(* #,##0.00_);_(* \(#,##0.00\);_(* "-"??_);_(@_)</c:formatCode>
                <c:ptCount val="16"/>
                <c:pt idx="12">
                  <c:v>0.4716981132075464</c:v>
                </c:pt>
                <c:pt idx="14">
                  <c:v>0.06</c:v>
                </c:pt>
                <c:pt idx="15">
                  <c:v>0.46</c:v>
                </c:pt>
              </c:numCache>
            </c:numRef>
          </c:yVal>
          <c:smooth val="0"/>
        </c:ser>
        <c:dLbls>
          <c:showLegendKey val="0"/>
          <c:showVal val="0"/>
          <c:showCatName val="0"/>
          <c:showSerName val="0"/>
          <c:showPercent val="0"/>
          <c:showBubbleSize val="0"/>
        </c:dLbls>
        <c:axId val="406063136"/>
        <c:axId val="406064704"/>
      </c:scatterChart>
      <c:valAx>
        <c:axId val="406063136"/>
        <c:scaling>
          <c:orientation val="minMax"/>
          <c:max val="14"/>
          <c:min val="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4704"/>
        <c:crosses val="autoZero"/>
        <c:crossBetween val="midCat"/>
      </c:valAx>
      <c:valAx>
        <c:axId val="40606470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3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'gauge calib'!$G$28</c:f>
              <c:strCache>
                <c:ptCount val="1"/>
                <c:pt idx="0">
                  <c:v>Gauge says higher by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'gauge calib'!$F$29:$F$45</c:f>
              <c:numCache>
                <c:formatCode>_(* #,##0.00_);_(* \(#,##0.00\);_(* "-"??_);_(@_)</c:formatCode>
                <c:ptCount val="17"/>
                <c:pt idx="0">
                  <c:v>8.8415238095238085</c:v>
                </c:pt>
                <c:pt idx="1">
                  <c:v>12.651047619047619</c:v>
                </c:pt>
                <c:pt idx="2" formatCode="General">
                  <c:v>8</c:v>
                </c:pt>
                <c:pt idx="3" formatCode="General">
                  <c:v>9</c:v>
                </c:pt>
                <c:pt idx="4" formatCode="General">
                  <c:v>9.5</c:v>
                </c:pt>
                <c:pt idx="5" formatCode="General">
                  <c:v>10</c:v>
                </c:pt>
                <c:pt idx="6" formatCode="General">
                  <c:v>10.5</c:v>
                </c:pt>
                <c:pt idx="7" formatCode="General">
                  <c:v>10.6</c:v>
                </c:pt>
                <c:pt idx="8">
                  <c:v>11.175000000000001</c:v>
                </c:pt>
                <c:pt idx="9" formatCode="General">
                  <c:v>11.5</c:v>
                </c:pt>
                <c:pt idx="10" formatCode="General">
                  <c:v>12</c:v>
                </c:pt>
                <c:pt idx="11" formatCode="General">
                  <c:v>12.151785714285714</c:v>
                </c:pt>
                <c:pt idx="12" formatCode="General">
                  <c:v>12.5</c:v>
                </c:pt>
                <c:pt idx="13" formatCode="General">
                  <c:v>13</c:v>
                </c:pt>
                <c:pt idx="14" formatCode="General">
                  <c:v>13.528301886792454</c:v>
                </c:pt>
                <c:pt idx="15" formatCode="General">
                  <c:v>14</c:v>
                </c:pt>
                <c:pt idx="16" formatCode="General">
                  <c:v>8</c:v>
                </c:pt>
              </c:numCache>
            </c:numRef>
          </c:xVal>
          <c:yVal>
            <c:numRef>
              <c:f>'gauge calib'!$G$29:$G$45</c:f>
              <c:numCache>
                <c:formatCode>General</c:formatCode>
                <c:ptCount val="17"/>
                <c:pt idx="2" formatCode="_(* #,##0.00_);_(* \(#,##0.00\);_(* &quot;-&quot;??_);_(@_)">
                  <c:v>8.6206896551724199E-2</c:v>
                </c:pt>
                <c:pt idx="3" formatCode="_(* #,##0.00_);_(* \(#,##0.00\);_(* &quot;-&quot;??_);_(@_)">
                  <c:v>0.1724137931034484</c:v>
                </c:pt>
                <c:pt idx="4" formatCode="_(* #,##0.00_);_(* \(#,##0.00\);_(* &quot;-&quot;??_);_(@_)">
                  <c:v>0.2413793103448274</c:v>
                </c:pt>
                <c:pt idx="5" formatCode="_(* #,##0.00_);_(* \(#,##0.00\);_(* &quot;-&quot;??_);_(@_)">
                  <c:v>0.2586206896551726</c:v>
                </c:pt>
                <c:pt idx="6" formatCode="_(* #,##0.00_);_(* \(#,##0.00\);_(* &quot;-&quot;??_);_(@_)">
                  <c:v>0.25</c:v>
                </c:pt>
                <c:pt idx="7" formatCode="_(* #,##0.00_);_(* \(#,##0.00\);_(* &quot;-&quot;??_);_(@_)">
                  <c:v>0.21034482758620676</c:v>
                </c:pt>
                <c:pt idx="8" formatCode="_(* #,##0.00_);_(* \(#,##0.00\);_(* &quot;-&quot;??_);_(@_)">
                  <c:v>0.27500000000000002</c:v>
                </c:pt>
                <c:pt idx="9" formatCode="_(* #,##0.00_);_(* \(#,##0.00\);_(* &quot;-&quot;??_);_(@_)">
                  <c:v>0.27500000000000002</c:v>
                </c:pt>
                <c:pt idx="10" formatCode="_(* #,##0.00_);_(* \(#,##0.00\);_(* &quot;-&quot;??_);_(@_)">
                  <c:v>0.3275862068965516</c:v>
                </c:pt>
                <c:pt idx="11" formatCode="_(* #,##0.00_);_(* \(#,##0.00\);_(* &quot;-&quot;??_);_(@_)">
                  <c:v>0.34821428571428648</c:v>
                </c:pt>
                <c:pt idx="12" formatCode="_(* #,##0.00_);_(* \(#,##0.00\);_(* &quot;-&quot;??_);_(@_)">
                  <c:v>0.3448275862068968</c:v>
                </c:pt>
                <c:pt idx="13" formatCode="_(* #,##0.00_);_(* \(#,##0.00\);_(* &quot;-&quot;??_);_(@_)">
                  <c:v>0.31034482758620641</c:v>
                </c:pt>
                <c:pt idx="14" formatCode="_(* #,##0.00_);_(* \(#,##0.00\);_(* &quot;-&quot;??_);_(@_)">
                  <c:v>0.4716981132075464</c:v>
                </c:pt>
                <c:pt idx="15" formatCode="_(* #,##0.00_);_(* \(#,##0.00\);_(* &quot;-&quot;??_);_(@_)">
                  <c:v>0.431034482758621</c:v>
                </c:pt>
              </c:numCache>
            </c:numRef>
          </c:yVal>
          <c:smooth val="0"/>
        </c:ser>
        <c:ser>
          <c:idx val="1"/>
          <c:order val="1"/>
          <c:tx>
            <c:strRef>
              <c:f>'gauge calib'!$H$28</c:f>
              <c:strCache>
                <c:ptCount val="1"/>
                <c:pt idx="0">
                  <c:v>Exponent fit</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'gauge calib'!$F$29:$F$45</c:f>
              <c:numCache>
                <c:formatCode>_(* #,##0.00_);_(* \(#,##0.00\);_(* "-"??_);_(@_)</c:formatCode>
                <c:ptCount val="17"/>
                <c:pt idx="0">
                  <c:v>8.8415238095238085</c:v>
                </c:pt>
                <c:pt idx="1">
                  <c:v>12.651047619047619</c:v>
                </c:pt>
                <c:pt idx="2" formatCode="General">
                  <c:v>8</c:v>
                </c:pt>
                <c:pt idx="3" formatCode="General">
                  <c:v>9</c:v>
                </c:pt>
                <c:pt idx="4" formatCode="General">
                  <c:v>9.5</c:v>
                </c:pt>
                <c:pt idx="5" formatCode="General">
                  <c:v>10</c:v>
                </c:pt>
                <c:pt idx="6" formatCode="General">
                  <c:v>10.5</c:v>
                </c:pt>
                <c:pt idx="7" formatCode="General">
                  <c:v>10.6</c:v>
                </c:pt>
                <c:pt idx="8">
                  <c:v>11.175000000000001</c:v>
                </c:pt>
                <c:pt idx="9" formatCode="General">
                  <c:v>11.5</c:v>
                </c:pt>
                <c:pt idx="10" formatCode="General">
                  <c:v>12</c:v>
                </c:pt>
                <c:pt idx="11" formatCode="General">
                  <c:v>12.151785714285714</c:v>
                </c:pt>
                <c:pt idx="12" formatCode="General">
                  <c:v>12.5</c:v>
                </c:pt>
                <c:pt idx="13" formatCode="General">
                  <c:v>13</c:v>
                </c:pt>
                <c:pt idx="14" formatCode="General">
                  <c:v>13.528301886792454</c:v>
                </c:pt>
                <c:pt idx="15" formatCode="General">
                  <c:v>14</c:v>
                </c:pt>
                <c:pt idx="16" formatCode="General">
                  <c:v>8</c:v>
                </c:pt>
              </c:numCache>
            </c:numRef>
          </c:xVal>
          <c:yVal>
            <c:numRef>
              <c:f>'gauge calib'!$H$29:$H$45</c:f>
              <c:numCache>
                <c:formatCode>_(* #,##0.00_);_(* \(#,##0.00\);_(* "-"??_);_(@_)</c:formatCode>
                <c:ptCount val="17"/>
                <c:pt idx="0">
                  <c:v>0.15847619047619155</c:v>
                </c:pt>
                <c:pt idx="1">
                  <c:v>0.34895238095238135</c:v>
                </c:pt>
              </c:numCache>
            </c:numRef>
          </c:yVal>
          <c:smooth val="0"/>
        </c:ser>
        <c:ser>
          <c:idx val="2"/>
          <c:order val="2"/>
          <c:tx>
            <c:strRef>
              <c:f>'gauge calib'!$I$28</c:f>
              <c:strCache>
                <c:ptCount val="1"/>
                <c:pt idx="0">
                  <c:v>Fit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'gauge calib'!$F$29:$F$45</c:f>
              <c:numCache>
                <c:formatCode>_(* #,##0.00_);_(* \(#,##0.00\);_(* "-"??_);_(@_)</c:formatCode>
                <c:ptCount val="17"/>
                <c:pt idx="0">
                  <c:v>8.8415238095238085</c:v>
                </c:pt>
                <c:pt idx="1">
                  <c:v>12.651047619047619</c:v>
                </c:pt>
                <c:pt idx="2" formatCode="General">
                  <c:v>8</c:v>
                </c:pt>
                <c:pt idx="3" formatCode="General">
                  <c:v>9</c:v>
                </c:pt>
                <c:pt idx="4" formatCode="General">
                  <c:v>9.5</c:v>
                </c:pt>
                <c:pt idx="5" formatCode="General">
                  <c:v>10</c:v>
                </c:pt>
                <c:pt idx="6" formatCode="General">
                  <c:v>10.5</c:v>
                </c:pt>
                <c:pt idx="7" formatCode="General">
                  <c:v>10.6</c:v>
                </c:pt>
                <c:pt idx="8">
                  <c:v>11.175000000000001</c:v>
                </c:pt>
                <c:pt idx="9" formatCode="General">
                  <c:v>11.5</c:v>
                </c:pt>
                <c:pt idx="10" formatCode="General">
                  <c:v>12</c:v>
                </c:pt>
                <c:pt idx="11" formatCode="General">
                  <c:v>12.151785714285714</c:v>
                </c:pt>
                <c:pt idx="12" formatCode="General">
                  <c:v>12.5</c:v>
                </c:pt>
                <c:pt idx="13" formatCode="General">
                  <c:v>13</c:v>
                </c:pt>
                <c:pt idx="14" formatCode="General">
                  <c:v>13.528301886792454</c:v>
                </c:pt>
                <c:pt idx="15" formatCode="General">
                  <c:v>14</c:v>
                </c:pt>
                <c:pt idx="16" formatCode="General">
                  <c:v>8</c:v>
                </c:pt>
              </c:numCache>
            </c:numRef>
          </c:xVal>
          <c:yVal>
            <c:numRef>
              <c:f>'gauge calib'!$I$29:$I$45</c:f>
              <c:numCache>
                <c:formatCode>_(* #,##0.00_);_(* \(#,##0.00\);_(* "-"??_);_(@_)</c:formatCode>
                <c:ptCount val="17"/>
                <c:pt idx="14">
                  <c:v>0.4716981132075464</c:v>
                </c:pt>
                <c:pt idx="16">
                  <c:v>0.06</c:v>
                </c:pt>
              </c:numCache>
            </c:numRef>
          </c:yVal>
          <c:smooth val="0"/>
        </c:ser>
        <c:dLbls>
          <c:showLegendKey val="0"/>
          <c:showVal val="0"/>
          <c:showCatName val="0"/>
          <c:showSerName val="0"/>
          <c:showPercent val="0"/>
          <c:showBubbleSize val="0"/>
        </c:dLbls>
        <c:axId val="406065880"/>
        <c:axId val="406066272"/>
      </c:scatterChart>
      <c:valAx>
        <c:axId val="406065880"/>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6272"/>
        <c:crosses val="autoZero"/>
        <c:crossBetween val="midCat"/>
      </c:valAx>
      <c:valAx>
        <c:axId val="40606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588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 balls' pressures vs. how many minutes inside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graphs!$B$3</c:f>
              <c:strCache>
                <c:ptCount val="1"/>
                <c:pt idx="0">
                  <c:v>Pats actual</c:v>
                </c:pt>
              </c:strCache>
            </c:strRef>
          </c:tx>
          <c:spPr>
            <a:ln w="19050" cap="rnd">
              <a:noFill/>
              <a:round/>
            </a:ln>
            <a:effectLst/>
          </c:spPr>
          <c:marker>
            <c:symbol val="circle"/>
            <c:size val="5"/>
            <c:spPr>
              <a:solidFill>
                <a:schemeClr val="accent1"/>
              </a:solidFill>
              <a:ln w="9525">
                <a:solidFill>
                  <a:schemeClr val="accent1"/>
                </a:solidFill>
              </a:ln>
              <a:effectLst/>
            </c:spPr>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graphs!$B$4:$B$89</c:f>
              <c:numCache>
                <c:formatCode>General</c:formatCode>
                <c:ptCount val="86"/>
                <c:pt idx="0">
                  <c:v>11.8</c:v>
                </c:pt>
                <c:pt idx="1">
                  <c:v>11.2</c:v>
                </c:pt>
                <c:pt idx="2">
                  <c:v>11.5</c:v>
                </c:pt>
                <c:pt idx="3">
                  <c:v>11</c:v>
                </c:pt>
                <c:pt idx="4">
                  <c:v>11.45</c:v>
                </c:pt>
                <c:pt idx="5">
                  <c:v>11.95</c:v>
                </c:pt>
                <c:pt idx="6">
                  <c:v>12.3</c:v>
                </c:pt>
                <c:pt idx="7">
                  <c:v>11.55</c:v>
                </c:pt>
                <c:pt idx="8">
                  <c:v>11.35</c:v>
                </c:pt>
                <c:pt idx="9">
                  <c:v>10.9</c:v>
                </c:pt>
                <c:pt idx="10">
                  <c:v>11.35</c:v>
                </c:pt>
              </c:numCache>
            </c:numRef>
          </c:yVal>
          <c:smooth val="0"/>
        </c:ser>
        <c:ser>
          <c:idx val="1"/>
          <c:order val="1"/>
          <c:tx>
            <c:strRef>
              <c:f>graphs!$C$3</c:f>
              <c:strCache>
                <c:ptCount val="1"/>
                <c:pt idx="0">
                  <c:v>Colts actual</c:v>
                </c:pt>
              </c:strCache>
            </c:strRef>
          </c:tx>
          <c:spPr>
            <a:ln w="19050" cap="rnd">
              <a:noFill/>
              <a:round/>
            </a:ln>
            <a:effectLst/>
          </c:spPr>
          <c:marker>
            <c:symbol val="circle"/>
            <c:size val="5"/>
            <c:spPr>
              <a:solidFill>
                <a:schemeClr val="accent2"/>
              </a:solidFill>
              <a:ln w="9525">
                <a:solidFill>
                  <a:schemeClr val="accent2"/>
                </a:solidFill>
              </a:ln>
              <a:effectLst/>
            </c:spPr>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graphs!$C$4:$C$89</c:f>
              <c:numCache>
                <c:formatCode>General</c:formatCode>
                <c:ptCount val="86"/>
                <c:pt idx="11">
                  <c:v>12.7</c:v>
                </c:pt>
                <c:pt idx="12">
                  <c:v>12.75</c:v>
                </c:pt>
                <c:pt idx="13">
                  <c:v>12.95</c:v>
                </c:pt>
                <c:pt idx="14">
                  <c:v>12.55</c:v>
                </c:pt>
              </c:numCache>
            </c:numRef>
          </c:yVal>
          <c:smooth val="0"/>
        </c:ser>
        <c:ser>
          <c:idx val="2"/>
          <c:order val="2"/>
          <c:tx>
            <c:strRef>
              <c:f>graphs!$D$3</c:f>
              <c:strCache>
                <c:ptCount val="1"/>
                <c:pt idx="0">
                  <c:v>all in bag</c:v>
                </c:pt>
              </c:strCache>
            </c:strRef>
          </c:tx>
          <c:spPr>
            <a:ln w="19050" cap="rnd">
              <a:solidFill>
                <a:schemeClr val="accent3"/>
              </a:solidFill>
              <a:prstDash val="lg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graphs!$D$4:$D$89</c:f>
              <c:numCache>
                <c:formatCode>General</c:formatCode>
                <c:ptCount val="86"/>
                <c:pt idx="15" formatCode="_(* #,##0.00_);_(* \(#,##0.00\);_(* &quot;-&quot;??_);_(@_)">
                  <c:v>10.916089398023031</c:v>
                </c:pt>
                <c:pt idx="16" formatCode="_(* #,##0.00_);_(* \(#,##0.00\);_(* &quot;-&quot;??_);_(@_)">
                  <c:v>10.959301027715801</c:v>
                </c:pt>
                <c:pt idx="17" formatCode="_(* #,##0.00_);_(* \(#,##0.00\);_(* &quot;-&quot;??_);_(@_)">
                  <c:v>11.01534893758601</c:v>
                </c:pt>
                <c:pt idx="18" formatCode="_(* #,##0.00_);_(* \(#,##0.00\);_(* &quot;-&quot;??_);_(@_)">
                  <c:v>11.073840483145082</c:v>
                </c:pt>
              </c:numCache>
            </c:numRef>
          </c:yVal>
          <c:smooth val="0"/>
        </c:ser>
        <c:ser>
          <c:idx val="3"/>
          <c:order val="3"/>
          <c:tx>
            <c:strRef>
              <c:f>graphs!$E$3</c:f>
              <c:strCache>
                <c:ptCount val="1"/>
                <c:pt idx="0">
                  <c:v>all in bag dry</c:v>
                </c:pt>
              </c:strCache>
            </c:strRef>
          </c:tx>
          <c:spPr>
            <a:ln w="25400" cap="rnd">
              <a:solidFill>
                <a:schemeClr val="accent6"/>
              </a:solidFill>
              <a:prstDash val="lg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graphs!$E$4:$E$89</c:f>
              <c:numCache>
                <c:formatCode>General</c:formatCode>
                <c:ptCount val="86"/>
                <c:pt idx="19" formatCode="_(* #,##0.00_);_(* \(#,##0.00\);_(* &quot;-&quot;??_);_(@_)">
                  <c:v>10.968589398023031</c:v>
                </c:pt>
                <c:pt idx="20" formatCode="_(* #,##0.00_);_(* \(#,##0.00\);_(* &quot;-&quot;??_);_(@_)">
                  <c:v>11.004374516797483</c:v>
                </c:pt>
                <c:pt idx="21" formatCode="_(* #,##0.00_);_(* \(#,##0.00\);_(* &quot;-&quot;??_);_(@_)">
                  <c:v>11.055560789568926</c:v>
                </c:pt>
                <c:pt idx="22" formatCode="_(* #,##0.00_);_(* \(#,##0.00\);_(* &quot;-&quot;??_);_(@_)">
                  <c:v>11.10674706234037</c:v>
                </c:pt>
                <c:pt idx="23" formatCode="_(* #,##0.00_);_(* \(#,##0.00\);_(* &quot;-&quot;??_);_(@_)">
                  <c:v>11.165314503518701</c:v>
                </c:pt>
              </c:numCache>
            </c:numRef>
          </c:yVal>
          <c:smooth val="0"/>
        </c:ser>
        <c:ser>
          <c:idx val="4"/>
          <c:order val="4"/>
          <c:tx>
            <c:strRef>
              <c:f>graphs!$F$3</c:f>
              <c:strCache>
                <c:ptCount val="1"/>
                <c:pt idx="0">
                  <c:v>3 wet in bag</c:v>
                </c:pt>
              </c:strCache>
            </c:strRef>
          </c:tx>
          <c:spPr>
            <a:ln w="19050" cap="rnd">
              <a:solidFill>
                <a:schemeClr val="accent5"/>
              </a:solidFill>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graphs!$F$4:$F$89</c:f>
              <c:numCache>
                <c:formatCode>General</c:formatCode>
                <c:ptCount val="86"/>
                <c:pt idx="24" formatCode="_(* #,##0.00_);_(* \(#,##0.00\);_(* &quot;-&quot;??_);_(@_)">
                  <c:v>10.916089398023031</c:v>
                </c:pt>
                <c:pt idx="25" formatCode="_(* #,##0.00_);_(* \(#,##0.00\);_(* &quot;-&quot;??_);_(@_)">
                  <c:v>10.948330466416495</c:v>
                </c:pt>
                <c:pt idx="26" formatCode="_(* #,##0.00_);_(* \(#,##0.00\);_(* &quot;-&quot;??_);_(@_)">
                  <c:v>11.002702580272747</c:v>
                </c:pt>
                <c:pt idx="27" formatCode="_(* #,##0.00_);_(* \(#,##0.00\);_(* &quot;-&quot;??_);_(@_)">
                  <c:v>11.022676009852594</c:v>
                </c:pt>
                <c:pt idx="28" formatCode="_(* #,##0.00_);_(* \(#,##0.00\);_(* &quot;-&quot;??_);_(@_)">
                  <c:v>11.07550091996529</c:v>
                </c:pt>
              </c:numCache>
            </c:numRef>
          </c:yVal>
          <c:smooth val="0"/>
        </c:ser>
        <c:ser>
          <c:idx val="5"/>
          <c:order val="5"/>
          <c:tx>
            <c:strRef>
              <c:f>graphs!$G$3</c:f>
              <c:strCache>
                <c:ptCount val="1"/>
                <c:pt idx="0">
                  <c:v>3 dry in bag</c:v>
                </c:pt>
              </c:strCache>
            </c:strRef>
          </c:tx>
          <c:spPr>
            <a:ln w="19050" cap="rnd">
              <a:solidFill>
                <a:schemeClr val="accent6"/>
              </a:solidFill>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graphs!$G$4:$G$89</c:f>
              <c:numCache>
                <c:formatCode>General</c:formatCode>
                <c:ptCount val="86"/>
                <c:pt idx="29" formatCode="_(* #,##0.00_);_(* \(#,##0.00\);_(* &quot;-&quot;??_);_(@_)">
                  <c:v>10.968589398023031</c:v>
                </c:pt>
                <c:pt idx="30" formatCode="_(* #,##0.00_);_(* \(#,##0.00\);_(* &quot;-&quot;??_);_(@_)">
                  <c:v>11.007554489971598</c:v>
                </c:pt>
                <c:pt idx="31" formatCode="_(* #,##0.00_);_(* \(#,##0.00\);_(* &quot;-&quot;??_);_(@_)">
                  <c:v>11.074153141254907</c:v>
                </c:pt>
                <c:pt idx="32" formatCode="_(* #,##0.00_);_(* \(#,##0.00\);_(* &quot;-&quot;??_);_(@_)">
                  <c:v>11.098617951930409</c:v>
                </c:pt>
                <c:pt idx="33" formatCode="_(* #,##0.00_);_(* \(#,##0.00\);_(* &quot;-&quot;??_);_(@_)">
                  <c:v>11.165151262569902</c:v>
                </c:pt>
              </c:numCache>
            </c:numRef>
          </c:yVal>
          <c:smooth val="0"/>
        </c:ser>
        <c:ser>
          <c:idx val="6"/>
          <c:order val="6"/>
          <c:tx>
            <c:strRef>
              <c:f>graphs!$H$3</c:f>
              <c:strCache>
                <c:ptCount val="1"/>
                <c:pt idx="0">
                  <c:v>wet out then in</c:v>
                </c:pt>
              </c:strCache>
            </c:strRef>
          </c:tx>
          <c:spPr>
            <a:ln w="19050" cap="rnd">
              <a:solidFill>
                <a:schemeClr val="accent1">
                  <a:lumMod val="60000"/>
                </a:schemeClr>
              </a:solidFill>
              <a:prstDash val="sys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graphs!$H$4:$H$89</c:f>
              <c:numCache>
                <c:formatCode>General</c:formatCode>
                <c:ptCount val="86"/>
                <c:pt idx="35" formatCode="_(* #,##0.00_);_(* \(#,##0.00\);_(* &quot;-&quot;??_);_(@_)">
                  <c:v>11.399959811587397</c:v>
                </c:pt>
                <c:pt idx="36" formatCode="_(* #,##0.00_);_(* \(#,##0.00\);_(* &quot;-&quot;??_);_(@_)">
                  <c:v>11.392646791328168</c:v>
                </c:pt>
                <c:pt idx="37" formatCode="_(* #,##0.00_);_(* \(#,##0.00\);_(* &quot;-&quot;??_);_(@_)">
                  <c:v>11.387381416741526</c:v>
                </c:pt>
                <c:pt idx="38" formatCode="_(* #,##0.00_);_(* \(#,##0.00\);_(* &quot;-&quot;??_);_(@_)">
                  <c:v>11.37728944878379</c:v>
                </c:pt>
                <c:pt idx="39" formatCode="_(* #,##0.00_);_(* \(#,##0.00\);_(* &quot;-&quot;??_);_(@_)">
                  <c:v>11.374656761490469</c:v>
                </c:pt>
                <c:pt idx="40" formatCode="_(* #,##0.00_);_(* \(#,##0.00\);_(* &quot;-&quot;??_);_(@_)">
                  <c:v>11.369391386903825</c:v>
                </c:pt>
              </c:numCache>
            </c:numRef>
          </c:yVal>
          <c:smooth val="0"/>
        </c:ser>
        <c:ser>
          <c:idx val="7"/>
          <c:order val="7"/>
          <c:tx>
            <c:strRef>
              <c:f>graphs!$I$3</c:f>
              <c:strCache>
                <c:ptCount val="1"/>
                <c:pt idx="0">
                  <c:v>dry out then in</c:v>
                </c:pt>
              </c:strCache>
            </c:strRef>
          </c:tx>
          <c:spPr>
            <a:ln w="19050" cap="rnd">
              <a:solidFill>
                <a:schemeClr val="accent2">
                  <a:lumMod val="60000"/>
                </a:schemeClr>
              </a:solidFill>
              <a:prstDash val="sys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graphs!$I$4:$I$89</c:f>
              <c:numCache>
                <c:formatCode>General</c:formatCode>
                <c:ptCount val="86"/>
                <c:pt idx="41" formatCode="_(* #,##0.00_);_(* \(#,##0.00\);_(* &quot;-&quot;??_);_(@_)">
                  <c:v>11.540172144176099</c:v>
                </c:pt>
                <c:pt idx="42" formatCode="_(* #,##0.00_);_(* \(#,##0.00\);_(* &quot;-&quot;??_);_(@_)">
                  <c:v>11.529086577021161</c:v>
                </c:pt>
                <c:pt idx="43" formatCode="_(* #,##0.00_);_(* \(#,##0.00\);_(* &quot;-&quot;??_);_(@_)">
                  <c:v>11.521104968669603</c:v>
                </c:pt>
                <c:pt idx="44" formatCode="_(* #,##0.00_);_(* \(#,##0.00\);_(* &quot;-&quot;??_);_(@_)">
                  <c:v>11.513931954628172</c:v>
                </c:pt>
                <c:pt idx="45" formatCode="_(* #,##0.00_);_(* \(#,##0.00\);_(* &quot;-&quot;??_);_(@_)">
                  <c:v>11.511819175946876</c:v>
                </c:pt>
                <c:pt idx="46" formatCode="_(* #,##0.00_);_(* \(#,##0.00\);_(* &quot;-&quot;??_);_(@_)">
                  <c:v>11.507593618584288</c:v>
                </c:pt>
              </c:numCache>
            </c:numRef>
          </c:yVal>
          <c:smooth val="0"/>
        </c:ser>
        <c:ser>
          <c:idx val="8"/>
          <c:order val="8"/>
          <c:tx>
            <c:strRef>
              <c:f>graphs!$J$3</c:f>
              <c:strCache>
                <c:ptCount val="1"/>
                <c:pt idx="0">
                  <c:v>out wet</c:v>
                </c:pt>
              </c:strCache>
            </c:strRef>
          </c:tx>
          <c:spPr>
            <a:ln w="19050" cap="rnd">
              <a:solidFill>
                <a:schemeClr val="accent3">
                  <a:lumMod val="60000"/>
                </a:schemeClr>
              </a:solidFill>
              <a:prstDash val="lg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graphs!$J$4:$J$89</c:f>
              <c:numCache>
                <c:formatCode>General</c:formatCode>
                <c:ptCount val="86"/>
                <c:pt idx="47" formatCode="_(* #,##0.00_);_(* \(#,##0.00\);_(* &quot;-&quot;??_);_(@_)">
                  <c:v>10.916089398023031</c:v>
                </c:pt>
                <c:pt idx="48" formatCode="_(* #,##0.00_);_(* \(#,##0.00\);_(* &quot;-&quot;??_);_(@_)">
                  <c:v>11.284388323764947</c:v>
                </c:pt>
                <c:pt idx="49" formatCode="_(* #,##0.00_);_(* \(#,##0.00\);_(* &quot;-&quot;??_);_(@_)">
                  <c:v>11.432283361133184</c:v>
                </c:pt>
                <c:pt idx="50" formatCode="_(* #,##0.00_);_(* \(#,##0.00\);_(* &quot;-&quot;??_);_(@_)">
                  <c:v>11.468537786635904</c:v>
                </c:pt>
                <c:pt idx="51" formatCode="_(* #,##0.00_);_(* \(#,##0.00\);_(* &quot;-&quot;??_);_(@_)">
                  <c:v>11.691051720938312</c:v>
                </c:pt>
                <c:pt idx="52" formatCode="_(* #,##0.00_);_(* \(#,##0.00\);_(* &quot;-&quot;??_);_(@_)">
                  <c:v>11.718674140368956</c:v>
                </c:pt>
                <c:pt idx="53" formatCode="_(* #,##0.00_);_(* \(#,##0.00\);_(* &quot;-&quot;??_);_(@_)">
                  <c:v>11.801541398660886</c:v>
                </c:pt>
                <c:pt idx="54" formatCode="_(* #,##0.00_);_(* \(#,##0.00\);_(* &quot;-&quot;??_);_(@_)">
                  <c:v>11.872745857637657</c:v>
                </c:pt>
                <c:pt idx="55" formatCode="_(* #,##0.00_);_(* \(#,##0.00\);_(* &quot;-&quot;??_);_(@_)">
                  <c:v>11.892081551239107</c:v>
                </c:pt>
                <c:pt idx="56" formatCode="_(* #,##0.00_);_(* \(#,##0.00\);_(* &quot;-&quot;??_);_(@_)">
                  <c:v>11.966968999473297</c:v>
                </c:pt>
              </c:numCache>
            </c:numRef>
          </c:yVal>
          <c:smooth val="0"/>
        </c:ser>
        <c:ser>
          <c:idx val="9"/>
          <c:order val="9"/>
          <c:tx>
            <c:strRef>
              <c:f>graphs!$K$3</c:f>
              <c:strCache>
                <c:ptCount val="1"/>
                <c:pt idx="0">
                  <c:v>out dry</c:v>
                </c:pt>
              </c:strCache>
            </c:strRef>
          </c:tx>
          <c:spPr>
            <a:ln w="19050" cap="rnd">
              <a:solidFill>
                <a:schemeClr val="accent4">
                  <a:lumMod val="60000"/>
                </a:schemeClr>
              </a:solidFill>
              <a:prstDash val="dashDot"/>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graphs!$K$4:$K$89</c:f>
              <c:numCache>
                <c:formatCode>General</c:formatCode>
                <c:ptCount val="86"/>
                <c:pt idx="57" formatCode="_(* #,##0.00_);_(* \(#,##0.00\);_(* &quot;-&quot;??_);_(@_)">
                  <c:v>10.968589398023031</c:v>
                </c:pt>
                <c:pt idx="58" formatCode="_(* #,##0.00_);_(* \(#,##0.00\);_(* &quot;-&quot;??_);_(@_)">
                  <c:v>11.303834230699582</c:v>
                </c:pt>
                <c:pt idx="59" formatCode="_(* #,##0.00_);_(* \(#,##0.00\);_(* &quot;-&quot;??_);_(@_)">
                  <c:v>11.580367106495542</c:v>
                </c:pt>
                <c:pt idx="60" formatCode="_(* #,##0.00_);_(* \(#,##0.00\);_(* &quot;-&quot;??_);_(@_)">
                  <c:v>11.62761016120562</c:v>
                </c:pt>
                <c:pt idx="61" formatCode="_(* #,##0.00_);_(* \(#,##0.00\);_(* &quot;-&quot;??_);_(@_)">
                  <c:v>11.915435494523315</c:v>
                </c:pt>
                <c:pt idx="62" formatCode="_(* #,##0.00_);_(* \(#,##0.00\);_(* &quot;-&quot;??_);_(@_)">
                  <c:v>11.947592531762947</c:v>
                </c:pt>
                <c:pt idx="63" formatCode="_(* #,##0.00_);_(* \(#,##0.00\);_(* &quot;-&quot;??_);_(@_)">
                  <c:v>12.111950722098845</c:v>
                </c:pt>
                <c:pt idx="64" formatCode="_(* #,##0.00_);_(* \(#,##0.00\);_(* &quot;-&quot;??_);_(@_)">
                  <c:v>12.199290823243523</c:v>
                </c:pt>
                <c:pt idx="65" formatCode="_(* #,##0.00_);_(* \(#,##0.00\);_(* &quot;-&quot;??_);_(@_)">
                  <c:v>12.244584966605744</c:v>
                </c:pt>
              </c:numCache>
            </c:numRef>
          </c:yVal>
          <c:smooth val="0"/>
        </c:ser>
        <c:ser>
          <c:idx val="10"/>
          <c:order val="10"/>
          <c:tx>
            <c:strRef>
              <c:f>graphs!$L$3</c:f>
              <c:strCache>
                <c:ptCount val="1"/>
                <c:pt idx="0">
                  <c:v>Colts wet</c:v>
                </c:pt>
              </c:strCache>
            </c:strRef>
          </c:tx>
          <c:spPr>
            <a:ln w="19050" cap="rnd">
              <a:solidFill>
                <a:schemeClr val="accent5">
                  <a:lumMod val="60000"/>
                </a:schemeClr>
              </a:solidFill>
              <a:prstDash val="sysDot"/>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graphs!$L$4:$L$89</c:f>
              <c:numCache>
                <c:formatCode>General</c:formatCode>
                <c:ptCount val="86"/>
                <c:pt idx="66" formatCode="_(* #,##0.00_);_(* \(#,##0.00\);_(* &quot;-&quot;??_);_(@_)">
                  <c:v>11.40370811847046</c:v>
                </c:pt>
                <c:pt idx="67" formatCode="_(* #,##0.00_);_(* \(#,##0.00\);_(* &quot;-&quot;??_);_(@_)">
                  <c:v>11.842897843956745</c:v>
                </c:pt>
                <c:pt idx="68" formatCode="_(* #,##0.00_);_(* \(#,##0.00\);_(* &quot;-&quot;??_);_(@_)">
                  <c:v>12.166960165674782</c:v>
                </c:pt>
                <c:pt idx="69" formatCode="_(* #,##0.00_);_(* \(#,##0.00\);_(* &quot;-&quot;??_);_(@_)">
                  <c:v>12.333255304451143</c:v>
                </c:pt>
                <c:pt idx="70" formatCode="_(* #,##0.00_);_(* \(#,##0.00\);_(* &quot;-&quot;??_);_(@_)">
                  <c:v>12.438436269064205</c:v>
                </c:pt>
                <c:pt idx="71" formatCode="_(* #,##0.00_);_(* \(#,##0.00\);_(* &quot;-&quot;??_);_(@_)">
                  <c:v>12.447910827996541</c:v>
                </c:pt>
                <c:pt idx="72" formatCode="_(* #,##0.00_);_(* \(#,##0.00\);_(* &quot;-&quot;??_);_(@_)">
                  <c:v>12.457385386928875</c:v>
                </c:pt>
                <c:pt idx="73" formatCode="_(* #,##0.00_);_(* \(#,##0.00\);_(* &quot;-&quot;??_);_(@_)">
                  <c:v>12.466859945861211</c:v>
                </c:pt>
              </c:numCache>
            </c:numRef>
          </c:yVal>
          <c:smooth val="0"/>
        </c:ser>
        <c:ser>
          <c:idx val="11"/>
          <c:order val="11"/>
          <c:tx>
            <c:strRef>
              <c:f>graphs!$M$3</c:f>
              <c:strCache>
                <c:ptCount val="1"/>
                <c:pt idx="0">
                  <c:v>Colts dry</c:v>
                </c:pt>
              </c:strCache>
            </c:strRef>
          </c:tx>
          <c:spPr>
            <a:ln w="19050" cap="rnd">
              <a:solidFill>
                <a:schemeClr val="accent6">
                  <a:lumMod val="60000"/>
                </a:schemeClr>
              </a:solidFill>
              <a:prstDash val="sysDash"/>
              <a:round/>
            </a:ln>
            <a:effectLst/>
          </c:spPr>
          <c:marker>
            <c:symbol val="none"/>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graphs!$M$4:$M$89</c:f>
              <c:numCache>
                <c:formatCode>General</c:formatCode>
                <c:ptCount val="86"/>
                <c:pt idx="74" formatCode="_(* #,##0.00_);_(* \(#,##0.00\);_(* &quot;-&quot;??_);_(@_)">
                  <c:v>11.491597007359349</c:v>
                </c:pt>
                <c:pt idx="75" formatCode="_(* #,##0.00_);_(* \(#,##0.00\);_(* &quot;-&quot;??_);_(@_)">
                  <c:v>12.014104151030054</c:v>
                </c:pt>
                <c:pt idx="76" formatCode="_(* #,##0.00_);_(* \(#,##0.00\);_(* &quot;-&quot;??_);_(@_)">
                  <c:v>12.42557852667073</c:v>
                </c:pt>
                <c:pt idx="77" formatCode="_(* #,##0.00_);_(* \(#,##0.00\);_(* &quot;-&quot;??_);_(@_)">
                  <c:v>12.660706741322548</c:v>
                </c:pt>
                <c:pt idx="78" formatCode="_(* #,##0.00_);_(* \(#,##0.00\);_(* &quot;-&quot;??_);_(@_)">
                  <c:v>12.791880635761911</c:v>
                </c:pt>
                <c:pt idx="79" formatCode="_(* #,##0.00_);_(* \(#,##0.00\);_(* &quot;-&quot;??_);_(@_)">
                  <c:v>12.801313849106956</c:v>
                </c:pt>
                <c:pt idx="80" formatCode="_(* #,##0.00_);_(* \(#,##0.00\);_(* &quot;-&quot;??_);_(@_)">
                  <c:v>12.810747062452</c:v>
                </c:pt>
                <c:pt idx="81" formatCode="_(* #,##0.00_);_(* \(#,##0.00\);_(* &quot;-&quot;??_);_(@_)">
                  <c:v>12.820180275797046</c:v>
                </c:pt>
              </c:numCache>
            </c:numRef>
          </c:yVal>
          <c:smooth val="0"/>
        </c:ser>
        <c:ser>
          <c:idx val="12"/>
          <c:order val="12"/>
          <c:tx>
            <c:strRef>
              <c:f>graphs!$N$3</c:f>
              <c:strCache>
                <c:ptCount val="1"/>
                <c:pt idx="0">
                  <c:v>intercepted dry</c:v>
                </c:pt>
              </c:strCache>
            </c:strRef>
          </c:tx>
          <c:spPr>
            <a:ln w="25400" cap="rnd">
              <a:solidFill>
                <a:schemeClr val="accent3">
                  <a:lumMod val="6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graphs!$N$4:$N$89</c:f>
              <c:numCache>
                <c:formatCode>General</c:formatCode>
                <c:ptCount val="86"/>
                <c:pt idx="82">
                  <c:v>11.4</c:v>
                </c:pt>
                <c:pt idx="83">
                  <c:v>11.75</c:v>
                </c:pt>
              </c:numCache>
            </c:numRef>
          </c:yVal>
          <c:smooth val="0"/>
        </c:ser>
        <c:ser>
          <c:idx val="13"/>
          <c:order val="13"/>
          <c:tx>
            <c:strRef>
              <c:f>graphs!$O$3</c:f>
              <c:strCache>
                <c:ptCount val="1"/>
                <c:pt idx="0">
                  <c:v>intercepted wet</c:v>
                </c:pt>
              </c:strCache>
            </c:strRef>
          </c:tx>
          <c:spPr>
            <a:ln w="25400" cap="rnd">
              <a:solidFill>
                <a:schemeClr val="accent3">
                  <a:lumMod val="6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graphs!$A$4:$A$89</c:f>
              <c:numCache>
                <c:formatCode>_(* #,##0.00_);_(* \(#,##0.00\);_(* "-"??_);_(@_)</c:formatCode>
                <c:ptCount val="86"/>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12.2501</c:v>
                </c:pt>
                <c:pt idx="12">
                  <c:v>12.583399999999999</c:v>
                </c:pt>
                <c:pt idx="13">
                  <c:v>12.916699999999999</c:v>
                </c:pt>
                <c:pt idx="14">
                  <c:v>13.249999999999998</c:v>
                </c:pt>
                <c:pt idx="15" formatCode="General">
                  <c:v>0</c:v>
                </c:pt>
                <c:pt idx="16" formatCode="General">
                  <c:v>4</c:v>
                </c:pt>
                <c:pt idx="17" formatCode="General">
                  <c:v>8.0500000000000007</c:v>
                </c:pt>
                <c:pt idx="18" formatCode="General">
                  <c:v>13</c:v>
                </c:pt>
                <c:pt idx="19">
                  <c:v>0</c:v>
                </c:pt>
                <c:pt idx="20">
                  <c:v>3</c:v>
                </c:pt>
                <c:pt idx="21">
                  <c:v>6</c:v>
                </c:pt>
                <c:pt idx="22">
                  <c:v>9</c:v>
                </c:pt>
                <c:pt idx="23">
                  <c:v>13</c:v>
                </c:pt>
                <c:pt idx="24">
                  <c:v>0</c:v>
                </c:pt>
                <c:pt idx="25">
                  <c:v>2</c:v>
                </c:pt>
                <c:pt idx="26">
                  <c:v>4.45</c:v>
                </c:pt>
                <c:pt idx="27">
                  <c:v>5.35</c:v>
                </c:pt>
                <c:pt idx="28">
                  <c:v>8.0500000000000007</c:v>
                </c:pt>
                <c:pt idx="29">
                  <c:v>0</c:v>
                </c:pt>
                <c:pt idx="30">
                  <c:v>2</c:v>
                </c:pt>
                <c:pt idx="31">
                  <c:v>4.45</c:v>
                </c:pt>
                <c:pt idx="32">
                  <c:v>5.35</c:v>
                </c:pt>
                <c:pt idx="33">
                  <c:v>8.0500000000000007</c:v>
                </c:pt>
                <c:pt idx="35">
                  <c:v>3.65</c:v>
                </c:pt>
                <c:pt idx="36">
                  <c:v>4.9000000000000004</c:v>
                </c:pt>
                <c:pt idx="37">
                  <c:v>5.8</c:v>
                </c:pt>
                <c:pt idx="38">
                  <c:v>7.15</c:v>
                </c:pt>
                <c:pt idx="39">
                  <c:v>7.6</c:v>
                </c:pt>
                <c:pt idx="40">
                  <c:v>8.5</c:v>
                </c:pt>
                <c:pt idx="41">
                  <c:v>3.65</c:v>
                </c:pt>
                <c:pt idx="42">
                  <c:v>4.9000000000000004</c:v>
                </c:pt>
                <c:pt idx="43">
                  <c:v>5.8</c:v>
                </c:pt>
                <c:pt idx="44">
                  <c:v>7.15</c:v>
                </c:pt>
                <c:pt idx="45">
                  <c:v>7.6</c:v>
                </c:pt>
                <c:pt idx="46">
                  <c:v>8.5</c:v>
                </c:pt>
                <c:pt idx="47">
                  <c:v>0</c:v>
                </c:pt>
                <c:pt idx="48">
                  <c:v>2.5</c:v>
                </c:pt>
                <c:pt idx="49">
                  <c:v>3.65</c:v>
                </c:pt>
                <c:pt idx="50">
                  <c:v>4</c:v>
                </c:pt>
                <c:pt idx="51">
                  <c:v>6.25</c:v>
                </c:pt>
                <c:pt idx="52">
                  <c:v>6.7</c:v>
                </c:pt>
                <c:pt idx="53">
                  <c:v>8.0500000000000007</c:v>
                </c:pt>
                <c:pt idx="54">
                  <c:v>9.4</c:v>
                </c:pt>
                <c:pt idx="55">
                  <c:v>10</c:v>
                </c:pt>
                <c:pt idx="56">
                  <c:v>13</c:v>
                </c:pt>
                <c:pt idx="57">
                  <c:v>0</c:v>
                </c:pt>
                <c:pt idx="58">
                  <c:v>2</c:v>
                </c:pt>
                <c:pt idx="59">
                  <c:v>3.65</c:v>
                </c:pt>
                <c:pt idx="60">
                  <c:v>4</c:v>
                </c:pt>
                <c:pt idx="61">
                  <c:v>6.25</c:v>
                </c:pt>
                <c:pt idx="62">
                  <c:v>6.7</c:v>
                </c:pt>
                <c:pt idx="63">
                  <c:v>9</c:v>
                </c:pt>
                <c:pt idx="64">
                  <c:v>11</c:v>
                </c:pt>
                <c:pt idx="65">
                  <c:v>13</c:v>
                </c:pt>
                <c:pt idx="66">
                  <c:v>0</c:v>
                </c:pt>
                <c:pt idx="67">
                  <c:v>3</c:v>
                </c:pt>
                <c:pt idx="68">
                  <c:v>6</c:v>
                </c:pt>
                <c:pt idx="69">
                  <c:v>9</c:v>
                </c:pt>
                <c:pt idx="70">
                  <c:v>12.2501</c:v>
                </c:pt>
                <c:pt idx="71">
                  <c:v>12.583399999999999</c:v>
                </c:pt>
                <c:pt idx="72">
                  <c:v>12.916699999999999</c:v>
                </c:pt>
                <c:pt idx="73">
                  <c:v>13.249999999999998</c:v>
                </c:pt>
                <c:pt idx="74">
                  <c:v>0</c:v>
                </c:pt>
                <c:pt idx="75">
                  <c:v>3</c:v>
                </c:pt>
                <c:pt idx="76">
                  <c:v>6</c:v>
                </c:pt>
                <c:pt idx="77">
                  <c:v>9</c:v>
                </c:pt>
                <c:pt idx="78">
                  <c:v>12.2501</c:v>
                </c:pt>
                <c:pt idx="79">
                  <c:v>12.583399999999999</c:v>
                </c:pt>
                <c:pt idx="80">
                  <c:v>12.916699999999999</c:v>
                </c:pt>
                <c:pt idx="81">
                  <c:v>13.249999999999998</c:v>
                </c:pt>
                <c:pt idx="82" formatCode="General">
                  <c:v>4</c:v>
                </c:pt>
                <c:pt idx="83">
                  <c:v>8</c:v>
                </c:pt>
                <c:pt idx="84" formatCode="General">
                  <c:v>8</c:v>
                </c:pt>
                <c:pt idx="85">
                  <c:v>13.5</c:v>
                </c:pt>
              </c:numCache>
            </c:numRef>
          </c:xVal>
          <c:yVal>
            <c:numRef>
              <c:f>graphs!$O$4:$O$89</c:f>
              <c:numCache>
                <c:formatCode>General</c:formatCode>
                <c:ptCount val="86"/>
                <c:pt idx="84">
                  <c:v>11.75</c:v>
                </c:pt>
                <c:pt idx="85">
                  <c:v>11.75</c:v>
                </c:pt>
              </c:numCache>
            </c:numRef>
          </c:yVal>
          <c:smooth val="0"/>
        </c:ser>
        <c:dLbls>
          <c:showLegendKey val="0"/>
          <c:showVal val="0"/>
          <c:showCatName val="0"/>
          <c:showSerName val="0"/>
          <c:showPercent val="0"/>
          <c:showBubbleSize val="0"/>
        </c:dLbls>
        <c:axId val="406067056"/>
        <c:axId val="547046896"/>
      </c:scatterChart>
      <c:valAx>
        <c:axId val="406067056"/>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046896"/>
        <c:crosses val="autoZero"/>
        <c:crossBetween val="midCat"/>
      </c:valAx>
      <c:valAx>
        <c:axId val="547046896"/>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06705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400">
                <a:solidFill>
                  <a:schemeClr val="tx1"/>
                </a:solidFill>
              </a:rPr>
              <a:t>Colts football pressures (with "Logo"</a:t>
            </a:r>
            <a:r>
              <a:rPr lang="en-US" sz="1400" baseline="0">
                <a:solidFill>
                  <a:schemeClr val="tx1"/>
                </a:solidFill>
              </a:rPr>
              <a:t> gauge) </a:t>
            </a:r>
            <a:r>
              <a:rPr lang="en-US" sz="1400">
                <a:solidFill>
                  <a:schemeClr val="tx1"/>
                </a:solidFill>
              </a:rPr>
              <a:t>compared</a:t>
            </a:r>
            <a:r>
              <a:rPr lang="en-US" sz="1400" baseline="0">
                <a:solidFill>
                  <a:schemeClr val="tx1"/>
                </a:solidFill>
              </a:rPr>
              <a:t> to prediction for balls out in the open, and for balls measured as they are taken from a dry bag : </a:t>
            </a:r>
            <a:r>
              <a:rPr lang="en-US" sz="1400" b="1" baseline="0">
                <a:solidFill>
                  <a:schemeClr val="tx1"/>
                </a:solidFill>
              </a:rPr>
              <a:t>Data proves that footballs were in the open</a:t>
            </a:r>
            <a:endParaRPr lang="en-US" sz="1400" baseline="0">
              <a:solidFill>
                <a:schemeClr val="tx1"/>
              </a:solidFill>
            </a:endParaRPr>
          </a:p>
        </c:rich>
      </c:tx>
      <c:layout>
        <c:manualLayout>
          <c:xMode val="edge"/>
          <c:yMode val="edge"/>
          <c:x val="0.1129381232675508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tx>
            <c:strRef>
              <c:f>graphs!$B$132</c:f>
              <c:strCache>
                <c:ptCount val="1"/>
                <c:pt idx="0">
                  <c:v>Colts actual</c:v>
                </c:pt>
              </c:strCache>
            </c:strRef>
          </c:tx>
          <c:spPr>
            <a:ln w="25400" cap="rnd">
              <a:noFill/>
              <a:round/>
            </a:ln>
            <a:effectLst/>
          </c:spPr>
          <c:marker>
            <c:symbol val="circle"/>
            <c:size val="5"/>
            <c:spPr>
              <a:solidFill>
                <a:schemeClr val="tx1"/>
              </a:solidFill>
              <a:ln w="9525">
                <a:noFill/>
              </a:ln>
              <a:effectLst/>
            </c:spPr>
          </c:marker>
          <c:xVal>
            <c:numRef>
              <c:f>graphs!$A$133:$A$162</c:f>
              <c:numCache>
                <c:formatCode>_(* #,##0_);_(* \(#,##0\);_(* "-"??_);_(@_)</c:formatCode>
                <c:ptCount val="30"/>
                <c:pt idx="0">
                  <c:v>12.2501</c:v>
                </c:pt>
                <c:pt idx="1">
                  <c:v>12.583399999999999</c:v>
                </c:pt>
                <c:pt idx="2">
                  <c:v>12.916699999999999</c:v>
                </c:pt>
                <c:pt idx="3">
                  <c:v>13.249999999999998</c:v>
                </c:pt>
                <c:pt idx="4">
                  <c:v>0</c:v>
                </c:pt>
                <c:pt idx="5">
                  <c:v>3</c:v>
                </c:pt>
                <c:pt idx="6">
                  <c:v>6</c:v>
                </c:pt>
                <c:pt idx="7">
                  <c:v>9</c:v>
                </c:pt>
                <c:pt idx="8">
                  <c:v>12</c:v>
                </c:pt>
                <c:pt idx="9">
                  <c:v>13.249999999999998</c:v>
                </c:pt>
                <c:pt idx="10">
                  <c:v>0</c:v>
                </c:pt>
                <c:pt idx="11">
                  <c:v>3</c:v>
                </c:pt>
                <c:pt idx="12">
                  <c:v>6</c:v>
                </c:pt>
                <c:pt idx="13">
                  <c:v>9</c:v>
                </c:pt>
                <c:pt idx="14">
                  <c:v>12.2501</c:v>
                </c:pt>
                <c:pt idx="15">
                  <c:v>12.583399999999999</c:v>
                </c:pt>
                <c:pt idx="16">
                  <c:v>12.916699999999999</c:v>
                </c:pt>
                <c:pt idx="17">
                  <c:v>13.249999999999998</c:v>
                </c:pt>
                <c:pt idx="18">
                  <c:v>0</c:v>
                </c:pt>
                <c:pt idx="19">
                  <c:v>3</c:v>
                </c:pt>
                <c:pt idx="20">
                  <c:v>6</c:v>
                </c:pt>
                <c:pt idx="21">
                  <c:v>9</c:v>
                </c:pt>
                <c:pt idx="22">
                  <c:v>12</c:v>
                </c:pt>
                <c:pt idx="23">
                  <c:v>13.249999999999998</c:v>
                </c:pt>
                <c:pt idx="24">
                  <c:v>0</c:v>
                </c:pt>
                <c:pt idx="25">
                  <c:v>3</c:v>
                </c:pt>
                <c:pt idx="26">
                  <c:v>6</c:v>
                </c:pt>
                <c:pt idx="27">
                  <c:v>9</c:v>
                </c:pt>
                <c:pt idx="28">
                  <c:v>12</c:v>
                </c:pt>
                <c:pt idx="29">
                  <c:v>13.249999999999998</c:v>
                </c:pt>
              </c:numCache>
            </c:numRef>
          </c:xVal>
          <c:yVal>
            <c:numRef>
              <c:f>graphs!$B$133:$B$162</c:f>
              <c:numCache>
                <c:formatCode>_(* #,##0.0_);_(* \(#,##0.0\);_(* "-"??_);_(@_)</c:formatCode>
                <c:ptCount val="30"/>
                <c:pt idx="0">
                  <c:v>12.7</c:v>
                </c:pt>
                <c:pt idx="1">
                  <c:v>12.75</c:v>
                </c:pt>
                <c:pt idx="2">
                  <c:v>12.95</c:v>
                </c:pt>
                <c:pt idx="3">
                  <c:v>12.55</c:v>
                </c:pt>
              </c:numCache>
            </c:numRef>
          </c:yVal>
          <c:smooth val="0"/>
        </c:ser>
        <c:ser>
          <c:idx val="1"/>
          <c:order val="1"/>
          <c:tx>
            <c:strRef>
              <c:f>graphs!$C$132</c:f>
              <c:strCache>
                <c:ptCount val="1"/>
                <c:pt idx="0">
                  <c:v>Prediction: Colts dry, out of bag</c:v>
                </c:pt>
              </c:strCache>
            </c:strRef>
          </c:tx>
          <c:spPr>
            <a:ln w="25400" cap="rnd">
              <a:solidFill>
                <a:schemeClr val="tx1"/>
              </a:solidFill>
              <a:prstDash val="dash"/>
              <a:round/>
            </a:ln>
            <a:effectLst/>
          </c:spPr>
          <c:marker>
            <c:symbol val="none"/>
          </c:marker>
          <c:xVal>
            <c:numRef>
              <c:f>graphs!$A$133:$A$162</c:f>
              <c:numCache>
                <c:formatCode>_(* #,##0_);_(* \(#,##0\);_(* "-"??_);_(@_)</c:formatCode>
                <c:ptCount val="30"/>
                <c:pt idx="0">
                  <c:v>12.2501</c:v>
                </c:pt>
                <c:pt idx="1">
                  <c:v>12.583399999999999</c:v>
                </c:pt>
                <c:pt idx="2">
                  <c:v>12.916699999999999</c:v>
                </c:pt>
                <c:pt idx="3">
                  <c:v>13.249999999999998</c:v>
                </c:pt>
                <c:pt idx="4">
                  <c:v>0</c:v>
                </c:pt>
                <c:pt idx="5">
                  <c:v>3</c:v>
                </c:pt>
                <c:pt idx="6">
                  <c:v>6</c:v>
                </c:pt>
                <c:pt idx="7">
                  <c:v>9</c:v>
                </c:pt>
                <c:pt idx="8">
                  <c:v>12</c:v>
                </c:pt>
                <c:pt idx="9">
                  <c:v>13.249999999999998</c:v>
                </c:pt>
                <c:pt idx="10">
                  <c:v>0</c:v>
                </c:pt>
                <c:pt idx="11">
                  <c:v>3</c:v>
                </c:pt>
                <c:pt idx="12">
                  <c:v>6</c:v>
                </c:pt>
                <c:pt idx="13">
                  <c:v>9</c:v>
                </c:pt>
                <c:pt idx="14">
                  <c:v>12.2501</c:v>
                </c:pt>
                <c:pt idx="15">
                  <c:v>12.583399999999999</c:v>
                </c:pt>
                <c:pt idx="16">
                  <c:v>12.916699999999999</c:v>
                </c:pt>
                <c:pt idx="17">
                  <c:v>13.249999999999998</c:v>
                </c:pt>
                <c:pt idx="18">
                  <c:v>0</c:v>
                </c:pt>
                <c:pt idx="19">
                  <c:v>3</c:v>
                </c:pt>
                <c:pt idx="20">
                  <c:v>6</c:v>
                </c:pt>
                <c:pt idx="21">
                  <c:v>9</c:v>
                </c:pt>
                <c:pt idx="22">
                  <c:v>12</c:v>
                </c:pt>
                <c:pt idx="23">
                  <c:v>13.249999999999998</c:v>
                </c:pt>
                <c:pt idx="24">
                  <c:v>0</c:v>
                </c:pt>
                <c:pt idx="25">
                  <c:v>3</c:v>
                </c:pt>
                <c:pt idx="26">
                  <c:v>6</c:v>
                </c:pt>
                <c:pt idx="27">
                  <c:v>9</c:v>
                </c:pt>
                <c:pt idx="28">
                  <c:v>12</c:v>
                </c:pt>
                <c:pt idx="29">
                  <c:v>13.249999999999998</c:v>
                </c:pt>
              </c:numCache>
            </c:numRef>
          </c:xVal>
          <c:yVal>
            <c:numRef>
              <c:f>graphs!$C$133:$C$162</c:f>
              <c:numCache>
                <c:formatCode>_(* #,##0.0_);_(* \(#,##0.0\);_(* "-"??_);_(@_)</c:formatCode>
                <c:ptCount val="30"/>
                <c:pt idx="4">
                  <c:v>11.491597007359349</c:v>
                </c:pt>
                <c:pt idx="5">
                  <c:v>12.014104151030054</c:v>
                </c:pt>
                <c:pt idx="6">
                  <c:v>12.42557852667073</c:v>
                </c:pt>
                <c:pt idx="7">
                  <c:v>12.660706741322548</c:v>
                </c:pt>
                <c:pt idx="8">
                  <c:v>12.791880635761911</c:v>
                </c:pt>
                <c:pt idx="9">
                  <c:v>12.801313849106956</c:v>
                </c:pt>
              </c:numCache>
            </c:numRef>
          </c:yVal>
          <c:smooth val="0"/>
        </c:ser>
        <c:ser>
          <c:idx val="2"/>
          <c:order val="2"/>
          <c:tx>
            <c:strRef>
              <c:f>graphs!$D$132</c:f>
              <c:strCache>
                <c:ptCount val="1"/>
                <c:pt idx="0">
                  <c:v>Prediction Colts wet, out of bag</c:v>
                </c:pt>
              </c:strCache>
            </c:strRef>
          </c:tx>
          <c:spPr>
            <a:ln w="25400" cap="rnd">
              <a:solidFill>
                <a:schemeClr val="tx1"/>
              </a:solidFill>
              <a:round/>
            </a:ln>
            <a:effectLst/>
          </c:spPr>
          <c:marker>
            <c:symbol val="none"/>
          </c:marker>
          <c:xVal>
            <c:numRef>
              <c:f>graphs!$A$133:$A$162</c:f>
              <c:numCache>
                <c:formatCode>_(* #,##0_);_(* \(#,##0\);_(* "-"??_);_(@_)</c:formatCode>
                <c:ptCount val="30"/>
                <c:pt idx="0">
                  <c:v>12.2501</c:v>
                </c:pt>
                <c:pt idx="1">
                  <c:v>12.583399999999999</c:v>
                </c:pt>
                <c:pt idx="2">
                  <c:v>12.916699999999999</c:v>
                </c:pt>
                <c:pt idx="3">
                  <c:v>13.249999999999998</c:v>
                </c:pt>
                <c:pt idx="4">
                  <c:v>0</c:v>
                </c:pt>
                <c:pt idx="5">
                  <c:v>3</c:v>
                </c:pt>
                <c:pt idx="6">
                  <c:v>6</c:v>
                </c:pt>
                <c:pt idx="7">
                  <c:v>9</c:v>
                </c:pt>
                <c:pt idx="8">
                  <c:v>12</c:v>
                </c:pt>
                <c:pt idx="9">
                  <c:v>13.249999999999998</c:v>
                </c:pt>
                <c:pt idx="10">
                  <c:v>0</c:v>
                </c:pt>
                <c:pt idx="11">
                  <c:v>3</c:v>
                </c:pt>
                <c:pt idx="12">
                  <c:v>6</c:v>
                </c:pt>
                <c:pt idx="13">
                  <c:v>9</c:v>
                </c:pt>
                <c:pt idx="14">
                  <c:v>12.2501</c:v>
                </c:pt>
                <c:pt idx="15">
                  <c:v>12.583399999999999</c:v>
                </c:pt>
                <c:pt idx="16">
                  <c:v>12.916699999999999</c:v>
                </c:pt>
                <c:pt idx="17">
                  <c:v>13.249999999999998</c:v>
                </c:pt>
                <c:pt idx="18">
                  <c:v>0</c:v>
                </c:pt>
                <c:pt idx="19">
                  <c:v>3</c:v>
                </c:pt>
                <c:pt idx="20">
                  <c:v>6</c:v>
                </c:pt>
                <c:pt idx="21">
                  <c:v>9</c:v>
                </c:pt>
                <c:pt idx="22">
                  <c:v>12</c:v>
                </c:pt>
                <c:pt idx="23">
                  <c:v>13.249999999999998</c:v>
                </c:pt>
                <c:pt idx="24">
                  <c:v>0</c:v>
                </c:pt>
                <c:pt idx="25">
                  <c:v>3</c:v>
                </c:pt>
                <c:pt idx="26">
                  <c:v>6</c:v>
                </c:pt>
                <c:pt idx="27">
                  <c:v>9</c:v>
                </c:pt>
                <c:pt idx="28">
                  <c:v>12</c:v>
                </c:pt>
                <c:pt idx="29">
                  <c:v>13.249999999999998</c:v>
                </c:pt>
              </c:numCache>
            </c:numRef>
          </c:xVal>
          <c:yVal>
            <c:numRef>
              <c:f>graphs!$D$133:$D$162</c:f>
              <c:numCache>
                <c:formatCode>_(* #,##0.0_);_(* \(#,##0.0\);_(* "-"??_);_(@_)</c:formatCode>
                <c:ptCount val="30"/>
                <c:pt idx="10">
                  <c:v>11.40370811847046</c:v>
                </c:pt>
                <c:pt idx="11">
                  <c:v>11.842897843956745</c:v>
                </c:pt>
                <c:pt idx="12">
                  <c:v>12.166960165674782</c:v>
                </c:pt>
                <c:pt idx="13">
                  <c:v>12.333255304451143</c:v>
                </c:pt>
                <c:pt idx="14">
                  <c:v>12.438436269064205</c:v>
                </c:pt>
                <c:pt idx="15">
                  <c:v>12.447910827996541</c:v>
                </c:pt>
                <c:pt idx="16">
                  <c:v>12.457385386928875</c:v>
                </c:pt>
                <c:pt idx="17">
                  <c:v>12.466859945861211</c:v>
                </c:pt>
              </c:numCache>
            </c:numRef>
          </c:yVal>
          <c:smooth val="0"/>
        </c:ser>
        <c:ser>
          <c:idx val="3"/>
          <c:order val="3"/>
          <c:tx>
            <c:strRef>
              <c:f>graphs!$E$132</c:f>
              <c:strCache>
                <c:ptCount val="1"/>
                <c:pt idx="0">
                  <c:v>Prediction, Colts dry in wet bag</c:v>
                </c:pt>
              </c:strCache>
            </c:strRef>
          </c:tx>
          <c:spPr>
            <a:ln w="25400" cap="rnd">
              <a:solidFill>
                <a:schemeClr val="tx1"/>
              </a:solidFill>
              <a:prstDash val="sysDot"/>
              <a:round/>
            </a:ln>
            <a:effectLst/>
          </c:spPr>
          <c:marker>
            <c:symbol val="none"/>
          </c:marker>
          <c:xVal>
            <c:numRef>
              <c:f>graphs!$A$133:$A$162</c:f>
              <c:numCache>
                <c:formatCode>_(* #,##0_);_(* \(#,##0\);_(* "-"??_);_(@_)</c:formatCode>
                <c:ptCount val="30"/>
                <c:pt idx="0">
                  <c:v>12.2501</c:v>
                </c:pt>
                <c:pt idx="1">
                  <c:v>12.583399999999999</c:v>
                </c:pt>
                <c:pt idx="2">
                  <c:v>12.916699999999999</c:v>
                </c:pt>
                <c:pt idx="3">
                  <c:v>13.249999999999998</c:v>
                </c:pt>
                <c:pt idx="4">
                  <c:v>0</c:v>
                </c:pt>
                <c:pt idx="5">
                  <c:v>3</c:v>
                </c:pt>
                <c:pt idx="6">
                  <c:v>6</c:v>
                </c:pt>
                <c:pt idx="7">
                  <c:v>9</c:v>
                </c:pt>
                <c:pt idx="8">
                  <c:v>12</c:v>
                </c:pt>
                <c:pt idx="9">
                  <c:v>13.249999999999998</c:v>
                </c:pt>
                <c:pt idx="10">
                  <c:v>0</c:v>
                </c:pt>
                <c:pt idx="11">
                  <c:v>3</c:v>
                </c:pt>
                <c:pt idx="12">
                  <c:v>6</c:v>
                </c:pt>
                <c:pt idx="13">
                  <c:v>9</c:v>
                </c:pt>
                <c:pt idx="14">
                  <c:v>12.2501</c:v>
                </c:pt>
                <c:pt idx="15">
                  <c:v>12.583399999999999</c:v>
                </c:pt>
                <c:pt idx="16">
                  <c:v>12.916699999999999</c:v>
                </c:pt>
                <c:pt idx="17">
                  <c:v>13.249999999999998</c:v>
                </c:pt>
                <c:pt idx="18">
                  <c:v>0</c:v>
                </c:pt>
                <c:pt idx="19">
                  <c:v>3</c:v>
                </c:pt>
                <c:pt idx="20">
                  <c:v>6</c:v>
                </c:pt>
                <c:pt idx="21">
                  <c:v>9</c:v>
                </c:pt>
                <c:pt idx="22">
                  <c:v>12</c:v>
                </c:pt>
                <c:pt idx="23">
                  <c:v>13.249999999999998</c:v>
                </c:pt>
                <c:pt idx="24">
                  <c:v>0</c:v>
                </c:pt>
                <c:pt idx="25">
                  <c:v>3</c:v>
                </c:pt>
                <c:pt idx="26">
                  <c:v>6</c:v>
                </c:pt>
                <c:pt idx="27">
                  <c:v>9</c:v>
                </c:pt>
                <c:pt idx="28">
                  <c:v>12</c:v>
                </c:pt>
                <c:pt idx="29">
                  <c:v>13.249999999999998</c:v>
                </c:pt>
              </c:numCache>
            </c:numRef>
          </c:xVal>
          <c:yVal>
            <c:numRef>
              <c:f>graphs!$E$133:$E$162</c:f>
              <c:numCache>
                <c:formatCode>_(* #,##0.0_);_(* \(#,##0.0\);_(* "-"??_);_(@_)</c:formatCode>
                <c:ptCount val="30"/>
                <c:pt idx="18">
                  <c:v>11.491597007359349</c:v>
                </c:pt>
                <c:pt idx="19">
                  <c:v>11.540236966168733</c:v>
                </c:pt>
                <c:pt idx="20">
                  <c:v>11.588876924978115</c:v>
                </c:pt>
                <c:pt idx="21">
                  <c:v>11.6375168837875</c:v>
                </c:pt>
                <c:pt idx="22">
                  <c:v>11.683013608797724</c:v>
                </c:pt>
                <c:pt idx="23">
                  <c:v>11.698602827052888</c:v>
                </c:pt>
              </c:numCache>
            </c:numRef>
          </c:yVal>
          <c:smooth val="0"/>
        </c:ser>
        <c:ser>
          <c:idx val="4"/>
          <c:order val="4"/>
          <c:tx>
            <c:strRef>
              <c:f>graphs!$F$132</c:f>
              <c:strCache>
                <c:ptCount val="1"/>
                <c:pt idx="0">
                  <c:v>Colts wet in wet bag</c:v>
                </c:pt>
              </c:strCache>
            </c:strRef>
          </c:tx>
          <c:spPr>
            <a:ln w="9525" cap="rnd">
              <a:solidFill>
                <a:schemeClr val="tx1"/>
              </a:solidFill>
              <a:round/>
            </a:ln>
            <a:effectLst/>
          </c:spPr>
          <c:marker>
            <c:symbol val="none"/>
          </c:marker>
          <c:xVal>
            <c:numRef>
              <c:f>graphs!$A$133:$A$162</c:f>
              <c:numCache>
                <c:formatCode>_(* #,##0_);_(* \(#,##0\);_(* "-"??_);_(@_)</c:formatCode>
                <c:ptCount val="30"/>
                <c:pt idx="0">
                  <c:v>12.2501</c:v>
                </c:pt>
                <c:pt idx="1">
                  <c:v>12.583399999999999</c:v>
                </c:pt>
                <c:pt idx="2">
                  <c:v>12.916699999999999</c:v>
                </c:pt>
                <c:pt idx="3">
                  <c:v>13.249999999999998</c:v>
                </c:pt>
                <c:pt idx="4">
                  <c:v>0</c:v>
                </c:pt>
                <c:pt idx="5">
                  <c:v>3</c:v>
                </c:pt>
                <c:pt idx="6">
                  <c:v>6</c:v>
                </c:pt>
                <c:pt idx="7">
                  <c:v>9</c:v>
                </c:pt>
                <c:pt idx="8">
                  <c:v>12</c:v>
                </c:pt>
                <c:pt idx="9">
                  <c:v>13.249999999999998</c:v>
                </c:pt>
                <c:pt idx="10">
                  <c:v>0</c:v>
                </c:pt>
                <c:pt idx="11">
                  <c:v>3</c:v>
                </c:pt>
                <c:pt idx="12">
                  <c:v>6</c:v>
                </c:pt>
                <c:pt idx="13">
                  <c:v>9</c:v>
                </c:pt>
                <c:pt idx="14">
                  <c:v>12.2501</c:v>
                </c:pt>
                <c:pt idx="15">
                  <c:v>12.583399999999999</c:v>
                </c:pt>
                <c:pt idx="16">
                  <c:v>12.916699999999999</c:v>
                </c:pt>
                <c:pt idx="17">
                  <c:v>13.249999999999998</c:v>
                </c:pt>
                <c:pt idx="18">
                  <c:v>0</c:v>
                </c:pt>
                <c:pt idx="19">
                  <c:v>3</c:v>
                </c:pt>
                <c:pt idx="20">
                  <c:v>6</c:v>
                </c:pt>
                <c:pt idx="21">
                  <c:v>9</c:v>
                </c:pt>
                <c:pt idx="22">
                  <c:v>12</c:v>
                </c:pt>
                <c:pt idx="23">
                  <c:v>13.249999999999998</c:v>
                </c:pt>
                <c:pt idx="24">
                  <c:v>0</c:v>
                </c:pt>
                <c:pt idx="25">
                  <c:v>3</c:v>
                </c:pt>
                <c:pt idx="26">
                  <c:v>6</c:v>
                </c:pt>
                <c:pt idx="27">
                  <c:v>9</c:v>
                </c:pt>
                <c:pt idx="28">
                  <c:v>12</c:v>
                </c:pt>
                <c:pt idx="29">
                  <c:v>13.249999999999998</c:v>
                </c:pt>
              </c:numCache>
            </c:numRef>
          </c:xVal>
          <c:yVal>
            <c:numRef>
              <c:f>graphs!$F$133:$F$162</c:f>
              <c:numCache>
                <c:formatCode>_(* #,##0.0_);_(* \(#,##0.0\);_(* "-"??_);_(@_)</c:formatCode>
                <c:ptCount val="30"/>
                <c:pt idx="24">
                  <c:v>11.40370811847046</c:v>
                </c:pt>
                <c:pt idx="25">
                  <c:v>11.441497073426143</c:v>
                </c:pt>
                <c:pt idx="26">
                  <c:v>11.479286028381825</c:v>
                </c:pt>
                <c:pt idx="27">
                  <c:v>11.517074983337508</c:v>
                </c:pt>
                <c:pt idx="28">
                  <c:v>11.551782948007125</c:v>
                </c:pt>
                <c:pt idx="29">
                  <c:v>11.562943538932011</c:v>
                </c:pt>
              </c:numCache>
            </c:numRef>
          </c:yVal>
          <c:smooth val="0"/>
        </c:ser>
        <c:dLbls>
          <c:showLegendKey val="0"/>
          <c:showVal val="0"/>
          <c:showCatName val="0"/>
          <c:showSerName val="0"/>
          <c:showPercent val="0"/>
          <c:showBubbleSize val="0"/>
        </c:dLbls>
        <c:axId val="402944712"/>
        <c:axId val="402949416"/>
      </c:scatterChart>
      <c:valAx>
        <c:axId val="402944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b="1" i="0" baseline="0">
                    <a:solidFill>
                      <a:schemeClr val="tx1"/>
                    </a:solidFill>
                    <a:effectLst/>
                  </a:rPr>
                  <a:t>Minutes ball was inside, warming up,  before it was measured</a:t>
                </a:r>
                <a:endParaRPr lang="en-US" sz="1200">
                  <a:solidFill>
                    <a:schemeClr val="tx1"/>
                  </a:solidFill>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02949416"/>
        <c:crosses val="autoZero"/>
        <c:crossBetween val="midCat"/>
      </c:valAx>
      <c:valAx>
        <c:axId val="402949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r>
                  <a:rPr lang="en-US" sz="1600">
                    <a:solidFill>
                      <a:schemeClr val="tx1"/>
                    </a:solidFill>
                  </a:rPr>
                  <a:t>Pressure (psi)</a:t>
                </a:r>
              </a:p>
            </c:rich>
          </c:tx>
          <c:layout>
            <c:manualLayout>
              <c:xMode val="edge"/>
              <c:yMode val="edge"/>
              <c:x val="2.5174825174825177E-2"/>
              <c:y val="0.3355495004541326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title>
        <c:numFmt formatCode="_(* #,##0.0_);_(* \(#,##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029447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Patriots</a:t>
            </a:r>
            <a:r>
              <a:rPr lang="en-US" baseline="0"/>
              <a:t> actual ball pressures (as the "Logo" gauge indicated) compared to what they should have if out of bag, or if stayed in the bag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graphs!$B$164</c:f>
              <c:strCache>
                <c:ptCount val="1"/>
                <c:pt idx="0">
                  <c:v>Actual</c:v>
                </c:pt>
              </c:strCache>
            </c:strRef>
          </c:tx>
          <c:spPr>
            <a:ln w="19050" cap="rnd">
              <a:noFill/>
              <a:round/>
            </a:ln>
            <a:effectLst/>
          </c:spPr>
          <c:marker>
            <c:symbol val="circle"/>
            <c:size val="5"/>
            <c:spPr>
              <a:solidFill>
                <a:schemeClr val="tx1"/>
              </a:solidFill>
              <a:ln w="9525">
                <a:solidFill>
                  <a:schemeClr val="tx1"/>
                </a:solidFill>
              </a:ln>
              <a:effectLst/>
            </c:spPr>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graphs!$B$165:$B$217</c:f>
              <c:numCache>
                <c:formatCode>General</c:formatCode>
                <c:ptCount val="53"/>
                <c:pt idx="0">
                  <c:v>11.8</c:v>
                </c:pt>
                <c:pt idx="1">
                  <c:v>11.2</c:v>
                </c:pt>
                <c:pt idx="2">
                  <c:v>11.5</c:v>
                </c:pt>
                <c:pt idx="3">
                  <c:v>11</c:v>
                </c:pt>
                <c:pt idx="4">
                  <c:v>11.45</c:v>
                </c:pt>
                <c:pt idx="5">
                  <c:v>11.95</c:v>
                </c:pt>
                <c:pt idx="6">
                  <c:v>12.3</c:v>
                </c:pt>
                <c:pt idx="7">
                  <c:v>11.55</c:v>
                </c:pt>
                <c:pt idx="8">
                  <c:v>11.35</c:v>
                </c:pt>
                <c:pt idx="9">
                  <c:v>10.9</c:v>
                </c:pt>
                <c:pt idx="10">
                  <c:v>11.35</c:v>
                </c:pt>
              </c:numCache>
            </c:numRef>
          </c:yVal>
          <c:smooth val="0"/>
        </c:ser>
        <c:ser>
          <c:idx val="1"/>
          <c:order val="1"/>
          <c:tx>
            <c:strRef>
              <c:f>graphs!$C$164</c:f>
              <c:strCache>
                <c:ptCount val="1"/>
                <c:pt idx="0">
                  <c:v>dry</c:v>
                </c:pt>
              </c:strCache>
            </c:strRef>
          </c:tx>
          <c:spPr>
            <a:ln w="19050" cap="rnd">
              <a:solidFill>
                <a:schemeClr val="tx1"/>
              </a:solidFill>
              <a:prstDash val="dash"/>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graphs!$C$165:$C$217</c:f>
              <c:numCache>
                <c:formatCode>General</c:formatCode>
                <c:ptCount val="53"/>
                <c:pt idx="11" formatCode="_(* #,##0.00_);_(* \(#,##0.00\);_(* &quot;-&quot;??_);_(@_)">
                  <c:v>10.968589398023031</c:v>
                </c:pt>
                <c:pt idx="12" formatCode="_(* #,##0.00_);_(* \(#,##0.00\);_(* &quot;-&quot;??_);_(@_)">
                  <c:v>11.303834230699582</c:v>
                </c:pt>
                <c:pt idx="13" formatCode="_(* #,##0.00_);_(* \(#,##0.00\);_(* &quot;-&quot;??_);_(@_)">
                  <c:v>11.580367106495542</c:v>
                </c:pt>
                <c:pt idx="14" formatCode="_(* #,##0.00_);_(* \(#,##0.00\);_(* &quot;-&quot;??_);_(@_)">
                  <c:v>11.62761016120562</c:v>
                </c:pt>
                <c:pt idx="15" formatCode="_(* #,##0.00_);_(* \(#,##0.00\);_(* &quot;-&quot;??_);_(@_)">
                  <c:v>11.915435494523315</c:v>
                </c:pt>
                <c:pt idx="16" formatCode="_(* #,##0.00_);_(* \(#,##0.00\);_(* &quot;-&quot;??_);_(@_)">
                  <c:v>11.947592531762947</c:v>
                </c:pt>
                <c:pt idx="17" formatCode="_(* #,##0.00_);_(* \(#,##0.00\);_(* &quot;-&quot;??_);_(@_)">
                  <c:v>12.111950722098845</c:v>
                </c:pt>
                <c:pt idx="18" formatCode="_(* #,##0.00_);_(* \(#,##0.00\);_(* &quot;-&quot;??_);_(@_)">
                  <c:v>12.155620772671183</c:v>
                </c:pt>
              </c:numCache>
            </c:numRef>
          </c:yVal>
          <c:smooth val="0"/>
        </c:ser>
        <c:ser>
          <c:idx val="2"/>
          <c:order val="2"/>
          <c:tx>
            <c:strRef>
              <c:f>graphs!$D$164</c:f>
              <c:strCache>
                <c:ptCount val="1"/>
                <c:pt idx="0">
                  <c:v>wet</c:v>
                </c:pt>
              </c:strCache>
            </c:strRef>
          </c:tx>
          <c:spPr>
            <a:ln w="19050" cap="rnd">
              <a:solidFill>
                <a:schemeClr val="tx1"/>
              </a:solidFill>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graphs!$D$165:$D$217</c:f>
              <c:numCache>
                <c:formatCode>General</c:formatCode>
                <c:ptCount val="53"/>
                <c:pt idx="19" formatCode="_(* #,##0.00_);_(* \(#,##0.00\);_(* &quot;-&quot;??_);_(@_)">
                  <c:v>10.916089398023031</c:v>
                </c:pt>
                <c:pt idx="20" formatCode="_(* #,##0.00_);_(* \(#,##0.00\);_(* &quot;-&quot;??_);_(@_)">
                  <c:v>11.284388323764947</c:v>
                </c:pt>
                <c:pt idx="21" formatCode="_(* #,##0.00_);_(* \(#,##0.00\);_(* &quot;-&quot;??_);_(@_)">
                  <c:v>11.432283361133184</c:v>
                </c:pt>
                <c:pt idx="22" formatCode="_(* #,##0.00_);_(* \(#,##0.00\);_(* &quot;-&quot;??_);_(@_)">
                  <c:v>11.468537786635904</c:v>
                </c:pt>
                <c:pt idx="23" formatCode="_(* #,##0.00_);_(* \(#,##0.00\);_(* &quot;-&quot;??_);_(@_)">
                  <c:v>11.691051720938312</c:v>
                </c:pt>
                <c:pt idx="24" formatCode="_(* #,##0.00_);_(* \(#,##0.00\);_(* &quot;-&quot;??_);_(@_)">
                  <c:v>11.718674140368956</c:v>
                </c:pt>
                <c:pt idx="25" formatCode="_(* #,##0.00_);_(* \(#,##0.00\);_(* &quot;-&quot;??_);_(@_)">
                  <c:v>11.801541398660886</c:v>
                </c:pt>
                <c:pt idx="26" formatCode="_(* #,##0.00_);_(* \(#,##0.00\);_(* &quot;-&quot;??_);_(@_)">
                  <c:v>11.872745857637657</c:v>
                </c:pt>
                <c:pt idx="27" formatCode="_(* #,##0.00_);_(* \(#,##0.00\);_(* &quot;-&quot;??_);_(@_)">
                  <c:v>11.892081551239107</c:v>
                </c:pt>
              </c:numCache>
            </c:numRef>
          </c:yVal>
          <c:smooth val="0"/>
        </c:ser>
        <c:ser>
          <c:idx val="3"/>
          <c:order val="3"/>
          <c:tx>
            <c:strRef>
              <c:f>graphs!$E$164</c:f>
              <c:strCache>
                <c:ptCount val="1"/>
                <c:pt idx="0">
                  <c:v>11 dry, kept in bag</c:v>
                </c:pt>
              </c:strCache>
            </c:strRef>
          </c:tx>
          <c:spPr>
            <a:ln w="19050" cap="rnd">
              <a:solidFill>
                <a:schemeClr val="tx1"/>
              </a:solidFill>
              <a:prstDash val="sysDot"/>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graphs!$E$165:$E$217</c:f>
              <c:numCache>
                <c:formatCode>General</c:formatCode>
                <c:ptCount val="53"/>
                <c:pt idx="28" formatCode="_(* #,##0.00_);_(* \(#,##0.00\);_(* &quot;-&quot;??_);_(@_)">
                  <c:v>10.968589398023031</c:v>
                </c:pt>
                <c:pt idx="29" formatCode="_(* #,##0.00_);_(* \(#,##0.00\);_(* &quot;-&quot;??_);_(@_)">
                  <c:v>11.004374516797483</c:v>
                </c:pt>
                <c:pt idx="30" formatCode="_(* #,##0.00_);_(* \(#,##0.00\);_(* &quot;-&quot;??_);_(@_)">
                  <c:v>11.055560789568926</c:v>
                </c:pt>
                <c:pt idx="31" formatCode="_(* #,##0.00_);_(* \(#,##0.00\);_(* &quot;-&quot;??_);_(@_)">
                  <c:v>11.10674706234037</c:v>
                </c:pt>
                <c:pt idx="32" formatCode="_(* #,##0.00_);_(* \(#,##0.00\);_(* &quot;-&quot;??_);_(@_)">
                  <c:v>11.123809153264185</c:v>
                </c:pt>
              </c:numCache>
            </c:numRef>
          </c:yVal>
          <c:smooth val="0"/>
        </c:ser>
        <c:ser>
          <c:idx val="4"/>
          <c:order val="4"/>
          <c:tx>
            <c:strRef>
              <c:f>graphs!$F$164</c:f>
              <c:strCache>
                <c:ptCount val="1"/>
                <c:pt idx="0">
                  <c:v>11 wet, kept in bag</c:v>
                </c:pt>
              </c:strCache>
            </c:strRef>
          </c:tx>
          <c:spPr>
            <a:ln w="19050" cap="rnd">
              <a:solidFill>
                <a:schemeClr val="tx1"/>
              </a:solidFill>
              <a:prstDash val="lgDashDot"/>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graphs!$F$165:$F$217</c:f>
              <c:numCache>
                <c:formatCode>General</c:formatCode>
                <c:ptCount val="53"/>
                <c:pt idx="33" formatCode="_(* #,##0.00_);_(* \(#,##0.00\);_(* &quot;-&quot;??_);_(@_)">
                  <c:v>10.916089398023031</c:v>
                </c:pt>
                <c:pt idx="34" formatCode="_(* #,##0.00_);_(* \(#,##0.00\);_(* &quot;-&quot;??_);_(@_)">
                  <c:v>10.959301027715801</c:v>
                </c:pt>
                <c:pt idx="35" formatCode="_(* #,##0.00_);_(* \(#,##0.00\);_(* &quot;-&quot;??_);_(@_)">
                  <c:v>11.01534893758601</c:v>
                </c:pt>
                <c:pt idx="36" formatCode="_(* #,##0.00_);_(* \(#,##0.00\);_(* &quot;-&quot;??_);_(@_)">
                  <c:v>11.028495978172847</c:v>
                </c:pt>
                <c:pt idx="37" formatCode="_(* #,##0.00_);_(* \(#,##0.00\);_(* &quot;-&quot;??_);_(@_)">
                  <c:v>11.042334968264257</c:v>
                </c:pt>
              </c:numCache>
            </c:numRef>
          </c:yVal>
          <c:smooth val="0"/>
        </c:ser>
        <c:ser>
          <c:idx val="5"/>
          <c:order val="5"/>
          <c:tx>
            <c:strRef>
              <c:f>graphs!$G$164</c:f>
              <c:strCache>
                <c:ptCount val="1"/>
                <c:pt idx="0">
                  <c:v>11 dry, kept in bag, and air not humid</c:v>
                </c:pt>
              </c:strCache>
            </c:strRef>
          </c:tx>
          <c:spPr>
            <a:ln w="25400" cap="rnd">
              <a:solidFill>
                <a:schemeClr val="bg2">
                  <a:lumMod val="90000"/>
                </a:schemeClr>
              </a:solidFill>
              <a:prstDash val="sysDot"/>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graphs!$G$165:$G$217</c:f>
              <c:numCache>
                <c:formatCode>General</c:formatCode>
                <c:ptCount val="53"/>
                <c:pt idx="38" formatCode="_(* #,##0.00_);_(* \(#,##0.00\);_(* &quot;-&quot;??_);_(@_)">
                  <c:v>11.05558656248428</c:v>
                </c:pt>
                <c:pt idx="39" formatCode="_(* #,##0.00_);_(* \(#,##0.00\);_(* &quot;-&quot;??_);_(@_)">
                  <c:v>11.09555918125873</c:v>
                </c:pt>
                <c:pt idx="40" formatCode="_(* #,##0.00_);_(* \(#,##0.00\);_(* &quot;-&quot;??_);_(@_)">
                  <c:v>11.150932954030173</c:v>
                </c:pt>
                <c:pt idx="41" formatCode="_(* #,##0.00_);_(* \(#,##0.00\);_(* &quot;-&quot;??_);_(@_)">
                  <c:v>11.206306726801618</c:v>
                </c:pt>
                <c:pt idx="42" formatCode="_(* #,##0.00_);_(* \(#,##0.00\);_(* &quot;-&quot;??_);_(@_)">
                  <c:v>11.224764651058766</c:v>
                </c:pt>
              </c:numCache>
            </c:numRef>
          </c:yVal>
          <c:smooth val="0"/>
        </c:ser>
        <c:ser>
          <c:idx val="6"/>
          <c:order val="6"/>
          <c:tx>
            <c:strRef>
              <c:f>graphs!$H$164</c:f>
              <c:strCache>
                <c:ptCount val="1"/>
                <c:pt idx="0">
                  <c:v>73% more wet, kept in bag</c:v>
                </c:pt>
              </c:strCache>
            </c:strRef>
          </c:tx>
          <c:spPr>
            <a:ln w="25400" cap="rnd">
              <a:solidFill>
                <a:schemeClr val="bg2">
                  <a:lumMod val="90000"/>
                </a:schemeClr>
              </a:solidFill>
              <a:round/>
            </a:ln>
            <a:effectLst/>
          </c:spPr>
          <c:marker>
            <c:symbol val="none"/>
          </c:marker>
          <c:xVal>
            <c:numRef>
              <c:f>graphs!$A$165:$A$217</c:f>
              <c:numCache>
                <c:formatCode>General</c:formatCode>
                <c:ptCount val="53"/>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formatCode="_(* #,##0.00_);_(* \(#,##0.00\);_(* &quot;-&quot;??_);_(@_)">
                  <c:v>0</c:v>
                </c:pt>
                <c:pt idx="12" formatCode="_(* #,##0.00_);_(* \(#,##0.00\);_(* &quot;-&quot;??_);_(@_)">
                  <c:v>2</c:v>
                </c:pt>
                <c:pt idx="13" formatCode="_(* #,##0.00_);_(* \(#,##0.00\);_(* &quot;-&quot;??_);_(@_)">
                  <c:v>3.65</c:v>
                </c:pt>
                <c:pt idx="14" formatCode="_(* #,##0.00_);_(* \(#,##0.00\);_(* &quot;-&quot;??_);_(@_)">
                  <c:v>4</c:v>
                </c:pt>
                <c:pt idx="15" formatCode="_(* #,##0.00_);_(* \(#,##0.00\);_(* &quot;-&quot;??_);_(@_)">
                  <c:v>6.25</c:v>
                </c:pt>
                <c:pt idx="16" formatCode="_(* #,##0.00_);_(* \(#,##0.00\);_(* &quot;-&quot;??_);_(@_)">
                  <c:v>6.7</c:v>
                </c:pt>
                <c:pt idx="17" formatCode="_(* #,##0.00_);_(* \(#,##0.00\);_(* &quot;-&quot;??_);_(@_)">
                  <c:v>9</c:v>
                </c:pt>
                <c:pt idx="18" formatCode="_(* #,##0.00_);_(* \(#,##0.00\);_(* &quot;-&quot;??_);_(@_)">
                  <c:v>10</c:v>
                </c:pt>
                <c:pt idx="19" formatCode="_(* #,##0.00_);_(* \(#,##0.00\);_(* &quot;-&quot;??_);_(@_)">
                  <c:v>0</c:v>
                </c:pt>
                <c:pt idx="20" formatCode="_(* #,##0.00_);_(* \(#,##0.00\);_(* &quot;-&quot;??_);_(@_)">
                  <c:v>2.5</c:v>
                </c:pt>
                <c:pt idx="21" formatCode="_(* #,##0.00_);_(* \(#,##0.00\);_(* &quot;-&quot;??_);_(@_)">
                  <c:v>3.65</c:v>
                </c:pt>
                <c:pt idx="22" formatCode="_(* #,##0.00_);_(* \(#,##0.00\);_(* &quot;-&quot;??_);_(@_)">
                  <c:v>4</c:v>
                </c:pt>
                <c:pt idx="23" formatCode="_(* #,##0.00_);_(* \(#,##0.00\);_(* &quot;-&quot;??_);_(@_)">
                  <c:v>6.25</c:v>
                </c:pt>
                <c:pt idx="24" formatCode="_(* #,##0.00_);_(* \(#,##0.00\);_(* &quot;-&quot;??_);_(@_)">
                  <c:v>6.7</c:v>
                </c:pt>
                <c:pt idx="25" formatCode="_(* #,##0.00_);_(* \(#,##0.00\);_(* &quot;-&quot;??_);_(@_)">
                  <c:v>8.0500000000000007</c:v>
                </c:pt>
                <c:pt idx="26" formatCode="_(* #,##0.00_);_(* \(#,##0.00\);_(* &quot;-&quot;??_);_(@_)">
                  <c:v>9.4</c:v>
                </c:pt>
                <c:pt idx="27" formatCode="_(* #,##0.00_);_(* \(#,##0.00\);_(* &quot;-&quot;??_);_(@_)">
                  <c:v>10</c:v>
                </c:pt>
                <c:pt idx="28" formatCode="_(* #,##0.00_);_(* \(#,##0.00\);_(* &quot;-&quot;??_);_(@_)">
                  <c:v>0</c:v>
                </c:pt>
                <c:pt idx="29" formatCode="_(* #,##0.00_);_(* \(#,##0.00\);_(* &quot;-&quot;??_);_(@_)">
                  <c:v>3</c:v>
                </c:pt>
                <c:pt idx="30" formatCode="_(* #,##0.00_);_(* \(#,##0.00\);_(* &quot;-&quot;??_);_(@_)">
                  <c:v>6</c:v>
                </c:pt>
                <c:pt idx="31" formatCode="_(* #,##0.00_);_(* \(#,##0.00\);_(* &quot;-&quot;??_);_(@_)">
                  <c:v>9</c:v>
                </c:pt>
                <c:pt idx="32" formatCode="_(* #,##0.00_);_(* \(#,##0.00\);_(* &quot;-&quot;??_);_(@_)">
                  <c:v>10</c:v>
                </c:pt>
                <c:pt idx="33">
                  <c:v>0</c:v>
                </c:pt>
                <c:pt idx="34">
                  <c:v>4</c:v>
                </c:pt>
                <c:pt idx="35">
                  <c:v>8.0500000000000007</c:v>
                </c:pt>
                <c:pt idx="36">
                  <c:v>9</c:v>
                </c:pt>
                <c:pt idx="37">
                  <c:v>10</c:v>
                </c:pt>
                <c:pt idx="38" formatCode="_(* #,##0.00_);_(* \(#,##0.00\);_(* &quot;-&quot;??_);_(@_)">
                  <c:v>0</c:v>
                </c:pt>
                <c:pt idx="39" formatCode="_(* #,##0.00_);_(* \(#,##0.00\);_(* &quot;-&quot;??_);_(@_)">
                  <c:v>3</c:v>
                </c:pt>
                <c:pt idx="40" formatCode="_(* #,##0.00_);_(* \(#,##0.00\);_(* &quot;-&quot;??_);_(@_)">
                  <c:v>6</c:v>
                </c:pt>
                <c:pt idx="41" formatCode="_(* #,##0.00_);_(* \(#,##0.00\);_(* &quot;-&quot;??_);_(@_)">
                  <c:v>9</c:v>
                </c:pt>
                <c:pt idx="42" formatCode="_(* #,##0.00_);_(* \(#,##0.00\);_(* &quot;-&quot;??_);_(@_)">
                  <c:v>10</c:v>
                </c:pt>
                <c:pt idx="43" formatCode="_(* #,##0.00_);_(* \(#,##0.00\);_(* &quot;-&quot;??_);_(@_)">
                  <c:v>0</c:v>
                </c:pt>
                <c:pt idx="44" formatCode="_(* #,##0.00_);_(* \(#,##0.00\);_(* &quot;-&quot;??_);_(@_)">
                  <c:v>1</c:v>
                </c:pt>
                <c:pt idx="45" formatCode="_(* #,##0.00_);_(* \(#,##0.00\);_(* &quot;-&quot;??_);_(@_)">
                  <c:v>2</c:v>
                </c:pt>
                <c:pt idx="46" formatCode="_(* #,##0.00_);_(* \(#,##0.00\);_(* &quot;-&quot;??_);_(@_)">
                  <c:v>3</c:v>
                </c:pt>
                <c:pt idx="47" formatCode="_(* #,##0.00_);_(* \(#,##0.00\);_(* &quot;-&quot;??_);_(@_)">
                  <c:v>4</c:v>
                </c:pt>
                <c:pt idx="48" formatCode="_(* #,##0.00_);_(* \(#,##0.00\);_(* &quot;-&quot;??_);_(@_)">
                  <c:v>5</c:v>
                </c:pt>
                <c:pt idx="49" formatCode="_(* #,##0.00_);_(* \(#,##0.00\);_(* &quot;-&quot;??_);_(@_)">
                  <c:v>6</c:v>
                </c:pt>
                <c:pt idx="50" formatCode="_(* #,##0.00_);_(* \(#,##0.00\);_(* &quot;-&quot;??_);_(@_)">
                  <c:v>7</c:v>
                </c:pt>
                <c:pt idx="51" formatCode="_(* #,##0.00_);_(* \(#,##0.00\);_(* &quot;-&quot;??_);_(@_)">
                  <c:v>8</c:v>
                </c:pt>
                <c:pt idx="52" formatCode="_(* #,##0.00_);_(* \(#,##0.00\);_(* &quot;-&quot;??_);_(@_)">
                  <c:v>10</c:v>
                </c:pt>
              </c:numCache>
            </c:numRef>
          </c:xVal>
          <c:yVal>
            <c:numRef>
              <c:f>graphs!$H$165:$H$217</c:f>
              <c:numCache>
                <c:formatCode>General</c:formatCode>
                <c:ptCount val="53"/>
                <c:pt idx="43" formatCode="_(* #,##0.00_);_(* \(#,##0.00\);_(* &quot;-&quot;??_);_(@_)">
                  <c:v>10.813774420281106</c:v>
                </c:pt>
                <c:pt idx="44" formatCode="_(* #,##0.00_);_(* \(#,##0.00\);_(* &quot;-&quot;??_);_(@_)">
                  <c:v>10.820060418545493</c:v>
                </c:pt>
                <c:pt idx="45" formatCode="_(* #,##0.00_);_(* \(#,##0.00\);_(* &quot;-&quot;??_);_(@_)">
                  <c:v>10.827260506215369</c:v>
                </c:pt>
                <c:pt idx="46" formatCode="_(* #,##0.00_);_(* \(#,##0.00\);_(* &quot;-&quot;??_);_(@_)">
                  <c:v>10.840075714518932</c:v>
                </c:pt>
                <c:pt idx="47" formatCode="_(* #,##0.00_);_(* \(#,##0.00\);_(* &quot;-&quot;??_);_(@_)">
                  <c:v>10.852890922822498</c:v>
                </c:pt>
                <c:pt idx="48" formatCode="_(* #,##0.00_);_(* \(#,##0.00\);_(* &quot;-&quot;??_);_(@_)">
                  <c:v>10.865706131126062</c:v>
                </c:pt>
                <c:pt idx="49" formatCode="_(* #,##0.00_);_(* \(#,##0.00\);_(* &quot;-&quot;??_);_(@_)">
                  <c:v>10.878521339429625</c:v>
                </c:pt>
                <c:pt idx="50" formatCode="_(* #,##0.00_);_(* \(#,##0.00\);_(* &quot;-&quot;??_);_(@_)">
                  <c:v>10.891336547733189</c:v>
                </c:pt>
                <c:pt idx="51" formatCode="_(* #,##0.00_);_(* \(#,##0.00\);_(* &quot;-&quot;??_);_(@_)">
                  <c:v>10.904151756036754</c:v>
                </c:pt>
                <c:pt idx="52" formatCode="_(* #,##0.00_);_(* \(#,##0.00\);_(* &quot;-&quot;??_);_(@_)">
                  <c:v>10.929782172643883</c:v>
                </c:pt>
              </c:numCache>
            </c:numRef>
          </c:yVal>
          <c:smooth val="0"/>
        </c:ser>
        <c:dLbls>
          <c:showLegendKey val="0"/>
          <c:showVal val="0"/>
          <c:showCatName val="0"/>
          <c:showSerName val="0"/>
          <c:showPercent val="0"/>
          <c:showBubbleSize val="0"/>
        </c:dLbls>
        <c:axId val="402945888"/>
        <c:axId val="402943536"/>
      </c:scatterChart>
      <c:valAx>
        <c:axId val="402945888"/>
        <c:scaling>
          <c:orientation val="minMax"/>
          <c:max val="1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i="0" baseline="0">
                    <a:effectLst/>
                  </a:rPr>
                  <a:t>Minutes ball was inside, warming up,  before it was measured</a:t>
                </a:r>
                <a:endParaRPr lang="en-US" sz="700">
                  <a:effectLst/>
                </a:endParaRPr>
              </a:p>
            </c:rich>
          </c:tx>
          <c:layout>
            <c:manualLayout>
              <c:xMode val="edge"/>
              <c:yMode val="edge"/>
              <c:x val="0.12111360315174743"/>
              <c:y val="0.604909285747565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3536"/>
        <c:crosses val="autoZero"/>
        <c:crossBetween val="midCat"/>
      </c:valAx>
      <c:valAx>
        <c:axId val="40294353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945888"/>
        <c:crosses val="autoZero"/>
        <c:crossBetween val="midCat"/>
      </c:valAx>
      <c:spPr>
        <a:noFill/>
        <a:ln>
          <a:noFill/>
        </a:ln>
        <a:effectLst/>
      </c:spPr>
    </c:plotArea>
    <c:legend>
      <c:legendPos val="b"/>
      <c:layout>
        <c:manualLayout>
          <c:xMode val="edge"/>
          <c:yMode val="edge"/>
          <c:x val="0.19960474689134283"/>
          <c:y val="0.67953270547063971"/>
          <c:w val="0.45939009833152228"/>
          <c:h val="0.31540665259979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Patriots</a:t>
            </a:r>
            <a:r>
              <a:rPr lang="en-US" baseline="0">
                <a:solidFill>
                  <a:sysClr val="windowText" lastClr="000000"/>
                </a:solidFill>
              </a:rPr>
              <a:t> actual ball pressures (as indicated by the "Logo" gauge), shown as dots,  compared to what science predicts (curves)</a:t>
            </a:r>
            <a:endParaRPr lang="en-US">
              <a:solidFill>
                <a:sysClr val="windowText" lastClr="000000"/>
              </a:solidFill>
            </a:endParaRPr>
          </a:p>
        </c:rich>
      </c:tx>
      <c:layout>
        <c:manualLayout>
          <c:xMode val="edge"/>
          <c:yMode val="edge"/>
          <c:x val="9.435433745096912E-2"/>
          <c:y val="1.16872076242557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graphs!$B$220</c:f>
              <c:strCache>
                <c:ptCount val="1"/>
                <c:pt idx="0">
                  <c:v>Actual</c:v>
                </c:pt>
              </c:strCache>
            </c:strRef>
          </c:tx>
          <c:spPr>
            <a:ln w="25400" cap="rnd">
              <a:noFill/>
              <a:round/>
            </a:ln>
            <a:effectLst/>
          </c:spPr>
          <c:marker>
            <c:symbol val="circle"/>
            <c:size val="5"/>
            <c:spPr>
              <a:solidFill>
                <a:schemeClr val="tx1"/>
              </a:solidFill>
              <a:ln w="9525">
                <a:solidFill>
                  <a:schemeClr val="tx1"/>
                </a:solidFill>
              </a:ln>
              <a:effectLst/>
            </c:spPr>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graphs!$B$221:$B$288</c:f>
              <c:numCache>
                <c:formatCode>General</c:formatCode>
                <c:ptCount val="68"/>
                <c:pt idx="0">
                  <c:v>11.8</c:v>
                </c:pt>
                <c:pt idx="1">
                  <c:v>11.2</c:v>
                </c:pt>
                <c:pt idx="2">
                  <c:v>11.5</c:v>
                </c:pt>
                <c:pt idx="3">
                  <c:v>11</c:v>
                </c:pt>
                <c:pt idx="4">
                  <c:v>11.45</c:v>
                </c:pt>
                <c:pt idx="5">
                  <c:v>11.95</c:v>
                </c:pt>
                <c:pt idx="6">
                  <c:v>12.3</c:v>
                </c:pt>
                <c:pt idx="7">
                  <c:v>11.55</c:v>
                </c:pt>
                <c:pt idx="8">
                  <c:v>11.35</c:v>
                </c:pt>
                <c:pt idx="9">
                  <c:v>10.9</c:v>
                </c:pt>
                <c:pt idx="10">
                  <c:v>11.35</c:v>
                </c:pt>
              </c:numCache>
            </c:numRef>
          </c:yVal>
          <c:smooth val="0"/>
        </c:ser>
        <c:ser>
          <c:idx val="1"/>
          <c:order val="1"/>
          <c:tx>
            <c:strRef>
              <c:f>graphs!$C$220</c:f>
              <c:strCache>
                <c:ptCount val="1"/>
                <c:pt idx="0">
                  <c:v>Dry, out of bag</c:v>
                </c:pt>
              </c:strCache>
            </c:strRef>
          </c:tx>
          <c:spPr>
            <a:ln w="25400" cap="rnd">
              <a:solidFill>
                <a:schemeClr val="tx1"/>
              </a:solidFill>
              <a:prstDash val="dash"/>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graphs!$C$221:$C$288</c:f>
              <c:numCache>
                <c:formatCode>General</c:formatCode>
                <c:ptCount val="68"/>
                <c:pt idx="11" formatCode="_(* #,##0.00_);_(* \(#,##0.00\);_(* &quot;-&quot;??_);_(@_)">
                  <c:v>10.968589398023031</c:v>
                </c:pt>
                <c:pt idx="12" formatCode="_(* #,##0.00_);_(* \(#,##0.00\);_(* &quot;-&quot;??_);_(@_)">
                  <c:v>11.303834230699582</c:v>
                </c:pt>
                <c:pt idx="13" formatCode="_(* #,##0.00_);_(* \(#,##0.00\);_(* &quot;-&quot;??_);_(@_)">
                  <c:v>11.580367106495542</c:v>
                </c:pt>
                <c:pt idx="14" formatCode="_(* #,##0.00_);_(* \(#,##0.00\);_(* &quot;-&quot;??_);_(@_)">
                  <c:v>11.62761016120562</c:v>
                </c:pt>
                <c:pt idx="15" formatCode="_(* #,##0.00_);_(* \(#,##0.00\);_(* &quot;-&quot;??_);_(@_)">
                  <c:v>11.915435494523315</c:v>
                </c:pt>
                <c:pt idx="16" formatCode="_(* #,##0.00_);_(* \(#,##0.00\);_(* &quot;-&quot;??_);_(@_)">
                  <c:v>11.947592531762947</c:v>
                </c:pt>
                <c:pt idx="17" formatCode="_(* #,##0.00_);_(* \(#,##0.00\);_(* &quot;-&quot;??_);_(@_)">
                  <c:v>12.111950722098845</c:v>
                </c:pt>
                <c:pt idx="18" formatCode="_(* #,##0.00_);_(* \(#,##0.00\);_(* &quot;-&quot;??_);_(@_)">
                  <c:v>12.155620772671183</c:v>
                </c:pt>
              </c:numCache>
            </c:numRef>
          </c:yVal>
          <c:smooth val="0"/>
        </c:ser>
        <c:ser>
          <c:idx val="2"/>
          <c:order val="2"/>
          <c:tx>
            <c:strRef>
              <c:f>graphs!$D$220</c:f>
              <c:strCache>
                <c:ptCount val="1"/>
                <c:pt idx="0">
                  <c:v>Wet, out of bag</c:v>
                </c:pt>
              </c:strCache>
            </c:strRef>
          </c:tx>
          <c:spPr>
            <a:ln w="25400" cap="rnd">
              <a:solidFill>
                <a:schemeClr val="tx1"/>
              </a:solidFill>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graphs!$D$221:$D$288</c:f>
              <c:numCache>
                <c:formatCode>General</c:formatCode>
                <c:ptCount val="68"/>
                <c:pt idx="19" formatCode="_(* #,##0.00_);_(* \(#,##0.00\);_(* &quot;-&quot;??_);_(@_)">
                  <c:v>10.916089398023031</c:v>
                </c:pt>
                <c:pt idx="20" formatCode="_(* #,##0.00_);_(* \(#,##0.00\);_(* &quot;-&quot;??_);_(@_)">
                  <c:v>11.284388323764947</c:v>
                </c:pt>
                <c:pt idx="21" formatCode="_(* #,##0.00_);_(* \(#,##0.00\);_(* &quot;-&quot;??_);_(@_)">
                  <c:v>11.432283361133184</c:v>
                </c:pt>
                <c:pt idx="22" formatCode="_(* #,##0.00_);_(* \(#,##0.00\);_(* &quot;-&quot;??_);_(@_)">
                  <c:v>11.468537786635904</c:v>
                </c:pt>
                <c:pt idx="23" formatCode="_(* #,##0.00_);_(* \(#,##0.00\);_(* &quot;-&quot;??_);_(@_)">
                  <c:v>11.691051720938312</c:v>
                </c:pt>
                <c:pt idx="24" formatCode="_(* #,##0.00_);_(* \(#,##0.00\);_(* &quot;-&quot;??_);_(@_)">
                  <c:v>11.718674140368956</c:v>
                </c:pt>
                <c:pt idx="25" formatCode="_(* #,##0.00_);_(* \(#,##0.00\);_(* &quot;-&quot;??_);_(@_)">
                  <c:v>11.801541398660886</c:v>
                </c:pt>
                <c:pt idx="26" formatCode="_(* #,##0.00_);_(* \(#,##0.00\);_(* &quot;-&quot;??_);_(@_)">
                  <c:v>11.872745857637657</c:v>
                </c:pt>
                <c:pt idx="27" formatCode="_(* #,##0.00_);_(* \(#,##0.00\);_(* &quot;-&quot;??_);_(@_)">
                  <c:v>11.892081551239107</c:v>
                </c:pt>
              </c:numCache>
            </c:numRef>
          </c:yVal>
          <c:smooth val="0"/>
        </c:ser>
        <c:ser>
          <c:idx val="3"/>
          <c:order val="3"/>
          <c:tx>
            <c:strRef>
              <c:f>graphs!$E$220</c:f>
              <c:strCache>
                <c:ptCount val="1"/>
                <c:pt idx="0">
                  <c:v>3 dry, kept in bag</c:v>
                </c:pt>
              </c:strCache>
            </c:strRef>
          </c:tx>
          <c:spPr>
            <a:ln w="25400" cap="rnd">
              <a:solidFill>
                <a:schemeClr val="tx1"/>
              </a:solidFill>
              <a:prstDash val="sysDot"/>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graphs!$E$221:$E$288</c:f>
              <c:numCache>
                <c:formatCode>General</c:formatCode>
                <c:ptCount val="68"/>
                <c:pt idx="28" formatCode="_(* #,##0.00_);_(* \(#,##0.00\);_(* &quot;-&quot;??_);_(@_)">
                  <c:v>10.968589398023031</c:v>
                </c:pt>
                <c:pt idx="29" formatCode="_(* #,##0.00_);_(* \(#,##0.00\);_(* &quot;-&quot;??_);_(@_)">
                  <c:v>11.007554489971598</c:v>
                </c:pt>
                <c:pt idx="30" formatCode="_(* #,##0.00_);_(* \(#,##0.00\);_(* &quot;-&quot;??_);_(@_)">
                  <c:v>11.074153141254907</c:v>
                </c:pt>
                <c:pt idx="31" formatCode="_(* #,##0.00_);_(* \(#,##0.00\);_(* &quot;-&quot;??_);_(@_)">
                  <c:v>11.098617951930409</c:v>
                </c:pt>
                <c:pt idx="32" formatCode="_(* #,##0.00_);_(* \(#,##0.00\);_(* &quot;-&quot;??_);_(@_)">
                  <c:v>11.165151262569902</c:v>
                </c:pt>
                <c:pt idx="33" formatCode="_(* #,##0.00_);_(* \(#,##0.00\);_(* &quot;-&quot;??_);_(@_)">
                  <c:v>11.202272993242463</c:v>
                </c:pt>
              </c:numCache>
            </c:numRef>
          </c:yVal>
          <c:smooth val="0"/>
        </c:ser>
        <c:ser>
          <c:idx val="4"/>
          <c:order val="4"/>
          <c:tx>
            <c:strRef>
              <c:f>graphs!$F$220</c:f>
              <c:strCache>
                <c:ptCount val="1"/>
                <c:pt idx="0">
                  <c:v>3 wet, kept in bag</c:v>
                </c:pt>
              </c:strCache>
            </c:strRef>
          </c:tx>
          <c:spPr>
            <a:ln w="25400" cap="rnd">
              <a:solidFill>
                <a:schemeClr val="tx1"/>
              </a:solidFill>
              <a:prstDash val="dashDot"/>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graphs!$F$221:$F$288</c:f>
              <c:numCache>
                <c:formatCode>General</c:formatCode>
                <c:ptCount val="68"/>
                <c:pt idx="34" formatCode="_(* #,##0.00_);_(* \(#,##0.00\);_(* &quot;-&quot;??_);_(@_)">
                  <c:v>10.916089398023031</c:v>
                </c:pt>
                <c:pt idx="35" formatCode="_(* #,##0.00_);_(* \(#,##0.00\);_(* &quot;-&quot;??_);_(@_)">
                  <c:v>10.948330466416495</c:v>
                </c:pt>
                <c:pt idx="36" formatCode="_(* #,##0.00_);_(* \(#,##0.00\);_(* &quot;-&quot;??_);_(@_)">
                  <c:v>11.002702580272747</c:v>
                </c:pt>
                <c:pt idx="37" formatCode="_(* #,##0.00_);_(* \(#,##0.00\);_(* &quot;-&quot;??_);_(@_)">
                  <c:v>11.022676009852594</c:v>
                </c:pt>
                <c:pt idx="38" formatCode="_(* #,##0.00_);_(* \(#,##0.00\);_(* &quot;-&quot;??_);_(@_)">
                  <c:v>11.07550091996529</c:v>
                </c:pt>
                <c:pt idx="39" formatCode="_(* #,##0.00_);_(* \(#,##0.00\);_(* &quot;-&quot;??_);_(@_)">
                  <c:v>11.102348955808647</c:v>
                </c:pt>
              </c:numCache>
            </c:numRef>
          </c:yVal>
          <c:smooth val="0"/>
        </c:ser>
        <c:ser>
          <c:idx val="5"/>
          <c:order val="5"/>
          <c:tx>
            <c:strRef>
              <c:f>graphs!$G$220</c:f>
              <c:strCache>
                <c:ptCount val="1"/>
                <c:pt idx="0">
                  <c:v>3 dry, kept in bag, and air not humid</c:v>
                </c:pt>
              </c:strCache>
            </c:strRef>
          </c:tx>
          <c:spPr>
            <a:ln w="25400" cap="rnd">
              <a:solidFill>
                <a:schemeClr val="bg2">
                  <a:lumMod val="75000"/>
                </a:schemeClr>
              </a:solidFill>
              <a:prstDash val="sysDot"/>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graphs!$G$221:$G$288</c:f>
              <c:numCache>
                <c:formatCode>General</c:formatCode>
                <c:ptCount val="68"/>
                <c:pt idx="40" formatCode="_(* #,##0.00_);_(* \(#,##0.00\);_(* &quot;-&quot;??_);_(@_)">
                  <c:v>11.05558656248428</c:v>
                </c:pt>
                <c:pt idx="41" formatCode="_(* #,##0.00_);_(* \(#,##0.00\);_(* &quot;-&quot;??_);_(@_)">
                  <c:v>11.097343321099514</c:v>
                </c:pt>
                <c:pt idx="42" formatCode="_(* #,##0.00_);_(* \(#,##0.00\);_(* &quot;-&quot;??_);_(@_)">
                  <c:v>11.154501233711736</c:v>
                </c:pt>
                <c:pt idx="43" formatCode="_(* #,##0.00_);_(* \(#,##0.00\);_(* &quot;-&quot;??_);_(@_)">
                  <c:v>11.211659146323962</c:v>
                </c:pt>
                <c:pt idx="44" formatCode="_(* #,##0.00_);_(* \(#,##0.00\);_(* &quot;-&quot;??_);_(@_)">
                  <c:v>11.262363254449799</c:v>
                </c:pt>
              </c:numCache>
            </c:numRef>
          </c:yVal>
          <c:smooth val="0"/>
        </c:ser>
        <c:ser>
          <c:idx val="6"/>
          <c:order val="6"/>
          <c:tx>
            <c:strRef>
              <c:f>graphs!$H$220</c:f>
              <c:strCache>
                <c:ptCount val="1"/>
                <c:pt idx="0">
                  <c:v>100% more wet, 3 kept in bag</c:v>
                </c:pt>
              </c:strCache>
            </c:strRef>
          </c:tx>
          <c:spPr>
            <a:ln w="25400" cap="rnd">
              <a:solidFill>
                <a:schemeClr val="bg2">
                  <a:lumMod val="75000"/>
                </a:schemeClr>
              </a:solidFill>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graphs!$H$221:$H$288</c:f>
              <c:numCache>
                <c:formatCode>General</c:formatCode>
                <c:ptCount val="68"/>
                <c:pt idx="45" formatCode="_(* #,##0.00_);_(* \(#,##0.00\);_(* &quot;-&quot;??_);_(@_)">
                  <c:v>10.776592233561782</c:v>
                </c:pt>
                <c:pt idx="46" formatCode="_(* #,##0.00_);_(* \(#,##0.00\);_(* &quot;-&quot;??_);_(@_)">
                  <c:v>10.787279728533115</c:v>
                </c:pt>
                <c:pt idx="47" formatCode="_(* #,##0.00_);_(* \(#,##0.00\);_(* &quot;-&quot;??_);_(@_)">
                  <c:v>10.80604163528858</c:v>
                </c:pt>
                <c:pt idx="48" formatCode="_(* #,##0.00_);_(* \(#,##0.00\);_(* &quot;-&quot;??_);_(@_)">
                  <c:v>10.82683850148841</c:v>
                </c:pt>
                <c:pt idx="49" formatCode="_(* #,##0.00_);_(* \(#,##0.00\);_(* &quot;-&quot;??_);_(@_)">
                  <c:v>10.847635367688239</c:v>
                </c:pt>
                <c:pt idx="50" formatCode="_(* #,##0.00_);_(* \(#,##0.00\);_(* &quot;-&quot;??_);_(@_)">
                  <c:v>10.847635367688239</c:v>
                </c:pt>
                <c:pt idx="51" formatCode="_(* #,##0.00_);_(* \(#,##0.00\);_(* &quot;-&quot;??_);_(@_)">
                  <c:v>10.868432233888072</c:v>
                </c:pt>
                <c:pt idx="52" formatCode="_(* #,##0.00_);_(* \(#,##0.00\);_(* &quot;-&quot;??_);_(@_)">
                  <c:v>10.889229100087903</c:v>
                </c:pt>
                <c:pt idx="53" formatCode="_(* #,##0.00_);_(* \(#,##0.00\);_(* &quot;-&quot;??_);_(@_)">
                  <c:v>10.910025966287733</c:v>
                </c:pt>
                <c:pt idx="54" formatCode="_(* #,##0.00_);_(* \(#,##0.00\);_(* &quot;-&quot;??_);_(@_)">
                  <c:v>10.924148677661902</c:v>
                </c:pt>
                <c:pt idx="55" formatCode="_(* #,##0.00_);_(* \(#,##0.00\);_(* &quot;-&quot;??_);_(@_)">
                  <c:v>10.948893458014066</c:v>
                </c:pt>
              </c:numCache>
            </c:numRef>
          </c:yVal>
          <c:smooth val="0"/>
        </c:ser>
        <c:ser>
          <c:idx val="7"/>
          <c:order val="7"/>
          <c:tx>
            <c:strRef>
              <c:f>graphs!$I$220</c:f>
              <c:strCache>
                <c:ptCount val="1"/>
                <c:pt idx="0">
                  <c:v>5 dry out, then in bag</c:v>
                </c:pt>
              </c:strCache>
            </c:strRef>
          </c:tx>
          <c:spPr>
            <a:ln w="25400" cap="rnd">
              <a:solidFill>
                <a:schemeClr val="bg2">
                  <a:lumMod val="75000"/>
                </a:schemeClr>
              </a:solidFill>
              <a:prstDash val="lgDashDotDot"/>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graphs!$I$221:$I$288</c:f>
              <c:numCache>
                <c:formatCode>General</c:formatCode>
                <c:ptCount val="68"/>
                <c:pt idx="56" formatCode="_(* #,##0.00_);_(* \(#,##0.00\);_(* &quot;-&quot;??_);_(@_)">
                  <c:v>11.540172144176099</c:v>
                </c:pt>
                <c:pt idx="57" formatCode="_(* #,##0.00_);_(* \(#,##0.00\);_(* &quot;-&quot;??_);_(@_)">
                  <c:v>11.529086577021161</c:v>
                </c:pt>
                <c:pt idx="58" formatCode="_(* #,##0.00_);_(* \(#,##0.00\);_(* &quot;-&quot;??_);_(@_)">
                  <c:v>11.521104968669603</c:v>
                </c:pt>
                <c:pt idx="59" formatCode="_(* #,##0.00_);_(* \(#,##0.00\);_(* &quot;-&quot;??_);_(@_)">
                  <c:v>11.513931954628172</c:v>
                </c:pt>
                <c:pt idx="60" formatCode="_(* #,##0.00_);_(* \(#,##0.00\);_(* &quot;-&quot;??_);_(@_)">
                  <c:v>11.511819175946876</c:v>
                </c:pt>
                <c:pt idx="61" formatCode="_(* #,##0.00_);_(* \(#,##0.00\);_(* &quot;-&quot;??_);_(@_)">
                  <c:v>11.507593618584288</c:v>
                </c:pt>
              </c:numCache>
            </c:numRef>
          </c:yVal>
          <c:smooth val="0"/>
        </c:ser>
        <c:ser>
          <c:idx val="8"/>
          <c:order val="8"/>
          <c:tx>
            <c:strRef>
              <c:f>graphs!$J$220</c:f>
              <c:strCache>
                <c:ptCount val="1"/>
                <c:pt idx="0">
                  <c:v>5 wet out, then in bag</c:v>
                </c:pt>
              </c:strCache>
            </c:strRef>
          </c:tx>
          <c:spPr>
            <a:ln w="25400" cap="rnd">
              <a:solidFill>
                <a:schemeClr val="bg2">
                  <a:lumMod val="75000"/>
                </a:schemeClr>
              </a:solidFill>
              <a:prstDash val="dashDot"/>
              <a:round/>
            </a:ln>
            <a:effectLst/>
          </c:spPr>
          <c:marker>
            <c:symbol val="none"/>
          </c:marker>
          <c:xVal>
            <c:numRef>
              <c:f>graphs!$A$221:$A$288</c:f>
              <c:numCache>
                <c:formatCode>_(* #,##0.00_);_(* \(#,##0.00\);_(* "-"??_);_(@_)</c:formatCode>
                <c:ptCount val="68"/>
                <c:pt idx="0">
                  <c:v>4</c:v>
                </c:pt>
                <c:pt idx="1">
                  <c:v>4.45</c:v>
                </c:pt>
                <c:pt idx="2">
                  <c:v>4.9000000000000004</c:v>
                </c:pt>
                <c:pt idx="3">
                  <c:v>5.3500000000000005</c:v>
                </c:pt>
                <c:pt idx="4">
                  <c:v>5.8000000000000007</c:v>
                </c:pt>
                <c:pt idx="5">
                  <c:v>6.2500000000000009</c:v>
                </c:pt>
                <c:pt idx="6">
                  <c:v>6.7000000000000011</c:v>
                </c:pt>
                <c:pt idx="7">
                  <c:v>7.1500000000000012</c:v>
                </c:pt>
                <c:pt idx="8">
                  <c:v>7.6000000000000014</c:v>
                </c:pt>
                <c:pt idx="9">
                  <c:v>8.0500000000000007</c:v>
                </c:pt>
                <c:pt idx="10">
                  <c:v>8.5</c:v>
                </c:pt>
                <c:pt idx="11">
                  <c:v>0</c:v>
                </c:pt>
                <c:pt idx="12">
                  <c:v>2</c:v>
                </c:pt>
                <c:pt idx="13">
                  <c:v>3.65</c:v>
                </c:pt>
                <c:pt idx="14">
                  <c:v>4</c:v>
                </c:pt>
                <c:pt idx="15">
                  <c:v>6.25</c:v>
                </c:pt>
                <c:pt idx="16">
                  <c:v>6.7</c:v>
                </c:pt>
                <c:pt idx="17">
                  <c:v>9</c:v>
                </c:pt>
                <c:pt idx="18">
                  <c:v>10</c:v>
                </c:pt>
                <c:pt idx="19">
                  <c:v>0</c:v>
                </c:pt>
                <c:pt idx="20">
                  <c:v>2.5</c:v>
                </c:pt>
                <c:pt idx="21">
                  <c:v>3.65</c:v>
                </c:pt>
                <c:pt idx="22">
                  <c:v>4</c:v>
                </c:pt>
                <c:pt idx="23">
                  <c:v>6.25</c:v>
                </c:pt>
                <c:pt idx="24">
                  <c:v>6.7</c:v>
                </c:pt>
                <c:pt idx="25">
                  <c:v>8.0500000000000007</c:v>
                </c:pt>
                <c:pt idx="26">
                  <c:v>9.4</c:v>
                </c:pt>
                <c:pt idx="27">
                  <c:v>10</c:v>
                </c:pt>
                <c:pt idx="28">
                  <c:v>0</c:v>
                </c:pt>
                <c:pt idx="29">
                  <c:v>2</c:v>
                </c:pt>
                <c:pt idx="30">
                  <c:v>4.45</c:v>
                </c:pt>
                <c:pt idx="31">
                  <c:v>5.35</c:v>
                </c:pt>
                <c:pt idx="32">
                  <c:v>8.0500000000000007</c:v>
                </c:pt>
                <c:pt idx="33">
                  <c:v>10</c:v>
                </c:pt>
                <c:pt idx="34">
                  <c:v>0</c:v>
                </c:pt>
                <c:pt idx="35">
                  <c:v>2</c:v>
                </c:pt>
                <c:pt idx="36">
                  <c:v>4.45</c:v>
                </c:pt>
                <c:pt idx="37">
                  <c:v>5.35</c:v>
                </c:pt>
                <c:pt idx="38">
                  <c:v>8.0500000000000007</c:v>
                </c:pt>
                <c:pt idx="39">
                  <c:v>10</c:v>
                </c:pt>
                <c:pt idx="40">
                  <c:v>0</c:v>
                </c:pt>
                <c:pt idx="41">
                  <c:v>2</c:v>
                </c:pt>
                <c:pt idx="42">
                  <c:v>4</c:v>
                </c:pt>
                <c:pt idx="43">
                  <c:v>6</c:v>
                </c:pt>
                <c:pt idx="44">
                  <c:v>8</c:v>
                </c:pt>
                <c:pt idx="45">
                  <c:v>0</c:v>
                </c:pt>
                <c:pt idx="46">
                  <c:v>1</c:v>
                </c:pt>
                <c:pt idx="47">
                  <c:v>2</c:v>
                </c:pt>
                <c:pt idx="48">
                  <c:v>3</c:v>
                </c:pt>
                <c:pt idx="49">
                  <c:v>4</c:v>
                </c:pt>
                <c:pt idx="50">
                  <c:v>4</c:v>
                </c:pt>
                <c:pt idx="51">
                  <c:v>5</c:v>
                </c:pt>
                <c:pt idx="52">
                  <c:v>6</c:v>
                </c:pt>
                <c:pt idx="53">
                  <c:v>7</c:v>
                </c:pt>
                <c:pt idx="54">
                  <c:v>8</c:v>
                </c:pt>
                <c:pt idx="55">
                  <c:v>10</c:v>
                </c:pt>
                <c:pt idx="56">
                  <c:v>3.65</c:v>
                </c:pt>
                <c:pt idx="57">
                  <c:v>4.9000000000000004</c:v>
                </c:pt>
                <c:pt idx="58">
                  <c:v>5.8</c:v>
                </c:pt>
                <c:pt idx="59">
                  <c:v>7.15</c:v>
                </c:pt>
                <c:pt idx="60">
                  <c:v>7.6</c:v>
                </c:pt>
                <c:pt idx="61">
                  <c:v>8.5</c:v>
                </c:pt>
                <c:pt idx="62">
                  <c:v>3.65</c:v>
                </c:pt>
                <c:pt idx="63">
                  <c:v>4.9000000000000004</c:v>
                </c:pt>
                <c:pt idx="64">
                  <c:v>5.8</c:v>
                </c:pt>
                <c:pt idx="65">
                  <c:v>7.15</c:v>
                </c:pt>
                <c:pt idx="66">
                  <c:v>7.6</c:v>
                </c:pt>
                <c:pt idx="67">
                  <c:v>8.5</c:v>
                </c:pt>
              </c:numCache>
            </c:numRef>
          </c:xVal>
          <c:yVal>
            <c:numRef>
              <c:f>graphs!$J$221:$J$288</c:f>
              <c:numCache>
                <c:formatCode>General</c:formatCode>
                <c:ptCount val="68"/>
                <c:pt idx="62" formatCode="_(* #,##0.00_);_(* \(#,##0.00\);_(* &quot;-&quot;??_);_(@_)">
                  <c:v>11.399959811587397</c:v>
                </c:pt>
                <c:pt idx="63" formatCode="_(* #,##0.00_);_(* \(#,##0.00\);_(* &quot;-&quot;??_);_(@_)">
                  <c:v>11.392646791328168</c:v>
                </c:pt>
                <c:pt idx="64" formatCode="_(* #,##0.00_);_(* \(#,##0.00\);_(* &quot;-&quot;??_);_(@_)">
                  <c:v>11.387381416741526</c:v>
                </c:pt>
                <c:pt idx="65" formatCode="_(* #,##0.00_);_(* \(#,##0.00\);_(* &quot;-&quot;??_);_(@_)">
                  <c:v>11.37728944878379</c:v>
                </c:pt>
                <c:pt idx="66" formatCode="_(* #,##0.00_);_(* \(#,##0.00\);_(* &quot;-&quot;??_);_(@_)">
                  <c:v>11.374656761490469</c:v>
                </c:pt>
                <c:pt idx="67" formatCode="_(* #,##0.00_);_(* \(#,##0.00\);_(* &quot;-&quot;??_);_(@_)">
                  <c:v>11.369391386903825</c:v>
                </c:pt>
              </c:numCache>
            </c:numRef>
          </c:yVal>
          <c:smooth val="0"/>
        </c:ser>
        <c:dLbls>
          <c:showLegendKey val="0"/>
          <c:showVal val="0"/>
          <c:showCatName val="0"/>
          <c:showSerName val="0"/>
          <c:showPercent val="0"/>
          <c:showBubbleSize val="0"/>
        </c:dLbls>
        <c:axId val="336302384"/>
        <c:axId val="336304736"/>
      </c:scatterChart>
      <c:valAx>
        <c:axId val="336302384"/>
        <c:scaling>
          <c:orientation val="minMax"/>
          <c:max val="1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sz="1200" b="1" i="0" baseline="0">
                    <a:solidFill>
                      <a:sysClr val="windowText" lastClr="000000"/>
                    </a:solidFill>
                    <a:effectLst/>
                  </a:rPr>
                  <a:t>Minutes ball was inside, warming up,  before it was measured</a:t>
                </a:r>
                <a:endParaRPr lang="en-US" sz="7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304736"/>
        <c:crosses val="autoZero"/>
        <c:crossBetween val="midCat"/>
      </c:valAx>
      <c:valAx>
        <c:axId val="336304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n-US" sz="1100" b="1">
                    <a:solidFill>
                      <a:sysClr val="windowText" lastClr="000000"/>
                    </a:solidFill>
                  </a:rPr>
                  <a:t>Pressure</a:t>
                </a:r>
                <a:r>
                  <a:rPr lang="en-US" sz="1100" b="1" baseline="0">
                    <a:solidFill>
                      <a:sysClr val="windowText" lastClr="000000"/>
                    </a:solidFill>
                  </a:rPr>
                  <a:t> (psi)</a:t>
                </a:r>
                <a:endParaRPr lang="en-US" sz="1100"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3023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While</a:t>
            </a:r>
            <a:r>
              <a:rPr lang="en-US" baseline="0">
                <a:solidFill>
                  <a:sysClr val="windowText" lastClr="000000"/>
                </a:solidFill>
              </a:rPr>
              <a:t> measuring the Patriots' balls, the </a:t>
            </a:r>
            <a:r>
              <a:rPr lang="en-US">
                <a:solidFill>
                  <a:sysClr val="windowText" lastClr="000000"/>
                </a:solidFill>
              </a:rPr>
              <a:t>"Accurate" (but inconsistent) gauge suddenly dropped 0.10</a:t>
            </a:r>
            <a:r>
              <a:rPr lang="en-US" baseline="0">
                <a:solidFill>
                  <a:sysClr val="windowText" lastClr="000000"/>
                </a:solidFill>
              </a:rPr>
              <a:t> psi </a:t>
            </a:r>
            <a:r>
              <a:rPr lang="en-US">
                <a:solidFill>
                  <a:sysClr val="windowText" lastClr="000000"/>
                </a:solidFill>
              </a:rPr>
              <a:t>relative to the over-reading (but consistent) gauge</a:t>
            </a:r>
          </a:p>
        </c:rich>
      </c:tx>
      <c:layout>
        <c:manualLayout>
          <c:xMode val="edge"/>
          <c:yMode val="edge"/>
          <c:x val="0.1614304461942257"/>
          <c:y val="3.03687635574837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'split personality'!$E$4</c:f>
              <c:strCache>
                <c:ptCount val="1"/>
                <c:pt idx="0">
                  <c:v>Non-Logo gauge minus Logo gauge</c:v>
                </c:pt>
              </c:strCache>
            </c:strRef>
          </c:tx>
          <c:spPr>
            <a:ln w="19050" cap="rnd">
              <a:noFill/>
              <a:round/>
            </a:ln>
            <a:effectLst/>
          </c:spPr>
          <c:marker>
            <c:symbol val="circle"/>
            <c:size val="5"/>
            <c:spPr>
              <a:solidFill>
                <a:schemeClr val="tx1"/>
              </a:solidFill>
              <a:ln w="9525">
                <a:solidFill>
                  <a:schemeClr val="tx1"/>
                </a:solidFill>
              </a:ln>
              <a:effectLst/>
            </c:spPr>
          </c:marker>
          <c:xVal>
            <c:numRef>
              <c:f>'split personality'!$D$5:$D$15</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xVal>
          <c:yVal>
            <c:numRef>
              <c:f>'split personality'!$E$5:$E$15</c:f>
              <c:numCache>
                <c:formatCode>0.00</c:formatCode>
                <c:ptCount val="11"/>
                <c:pt idx="0">
                  <c:v>-0.30000000000000071</c:v>
                </c:pt>
                <c:pt idx="1">
                  <c:v>-0.34999999999999964</c:v>
                </c:pt>
                <c:pt idx="2">
                  <c:v>-0.34999999999999964</c:v>
                </c:pt>
                <c:pt idx="3">
                  <c:v>-0.30000000000000071</c:v>
                </c:pt>
                <c:pt idx="4">
                  <c:v>-0.34999999999999964</c:v>
                </c:pt>
                <c:pt idx="5">
                  <c:v>-0.34999999999999964</c:v>
                </c:pt>
                <c:pt idx="6">
                  <c:v>-0.45000000000000107</c:v>
                </c:pt>
                <c:pt idx="7">
                  <c:v>-0.45000000000000107</c:v>
                </c:pt>
                <c:pt idx="8">
                  <c:v>-0.40000000000000036</c:v>
                </c:pt>
                <c:pt idx="9">
                  <c:v>-0.40000000000000036</c:v>
                </c:pt>
                <c:pt idx="10">
                  <c:v>-0.44999999999999929</c:v>
                </c:pt>
              </c:numCache>
            </c:numRef>
          </c:yVal>
          <c:smooth val="0"/>
        </c:ser>
        <c:ser>
          <c:idx val="1"/>
          <c:order val="1"/>
          <c:tx>
            <c:strRef>
              <c:f>'split personality'!$F$4</c:f>
              <c:strCache>
                <c:ptCount val="1"/>
                <c:pt idx="0">
                  <c:v>Average difference</c:v>
                </c:pt>
              </c:strCache>
            </c:strRef>
          </c:tx>
          <c:spPr>
            <a:ln w="19050" cap="rnd">
              <a:solidFill>
                <a:schemeClr val="tx1"/>
              </a:solidFill>
              <a:prstDash val="dash"/>
              <a:round/>
            </a:ln>
            <a:effectLst/>
          </c:spPr>
          <c:marker>
            <c:symbol val="none"/>
          </c:marker>
          <c:dPt>
            <c:idx val="6"/>
            <c:marker>
              <c:symbol val="none"/>
            </c:marker>
            <c:bubble3D val="0"/>
            <c:spPr>
              <a:ln w="19050" cap="rnd">
                <a:noFill/>
                <a:prstDash val="dash"/>
                <a:round/>
              </a:ln>
              <a:effectLst/>
            </c:spPr>
          </c:dPt>
          <c:xVal>
            <c:numRef>
              <c:f>'split personality'!$D$5:$D$15</c:f>
              <c:numCache>
                <c:formatCode>General</c:formatCode>
                <c:ptCount val="11"/>
                <c:pt idx="0">
                  <c:v>1</c:v>
                </c:pt>
                <c:pt idx="1">
                  <c:v>2</c:v>
                </c:pt>
                <c:pt idx="2">
                  <c:v>3</c:v>
                </c:pt>
                <c:pt idx="3">
                  <c:v>4</c:v>
                </c:pt>
                <c:pt idx="4">
                  <c:v>5</c:v>
                </c:pt>
                <c:pt idx="5">
                  <c:v>6</c:v>
                </c:pt>
                <c:pt idx="6">
                  <c:v>7</c:v>
                </c:pt>
                <c:pt idx="7">
                  <c:v>8</c:v>
                </c:pt>
                <c:pt idx="8">
                  <c:v>9</c:v>
                </c:pt>
                <c:pt idx="9">
                  <c:v>10</c:v>
                </c:pt>
                <c:pt idx="10">
                  <c:v>11</c:v>
                </c:pt>
              </c:numCache>
            </c:numRef>
          </c:xVal>
          <c:yVal>
            <c:numRef>
              <c:f>'split personality'!$F$5:$F$15</c:f>
              <c:numCache>
                <c:formatCode>0.00</c:formatCode>
                <c:ptCount val="11"/>
                <c:pt idx="0">
                  <c:v>-0.33333333333333331</c:v>
                </c:pt>
                <c:pt idx="1">
                  <c:v>-0.33333333333333331</c:v>
                </c:pt>
                <c:pt idx="2">
                  <c:v>-0.33333333333333331</c:v>
                </c:pt>
                <c:pt idx="3">
                  <c:v>-0.33333333333333331</c:v>
                </c:pt>
                <c:pt idx="4">
                  <c:v>-0.33333333333333331</c:v>
                </c:pt>
                <c:pt idx="5">
                  <c:v>-0.33333333333333331</c:v>
                </c:pt>
                <c:pt idx="6">
                  <c:v>-0.43000000000000044</c:v>
                </c:pt>
                <c:pt idx="7">
                  <c:v>-0.43000000000000044</c:v>
                </c:pt>
                <c:pt idx="8">
                  <c:v>-0.43000000000000044</c:v>
                </c:pt>
                <c:pt idx="9">
                  <c:v>-0.43000000000000044</c:v>
                </c:pt>
                <c:pt idx="10">
                  <c:v>-0.43000000000000044</c:v>
                </c:pt>
              </c:numCache>
            </c:numRef>
          </c:yVal>
          <c:smooth val="0"/>
        </c:ser>
        <c:dLbls>
          <c:showLegendKey val="0"/>
          <c:showVal val="0"/>
          <c:showCatName val="0"/>
          <c:showSerName val="0"/>
          <c:showPercent val="0"/>
          <c:showBubbleSize val="0"/>
        </c:dLbls>
        <c:axId val="558662416"/>
        <c:axId val="558664768"/>
      </c:scatterChart>
      <c:valAx>
        <c:axId val="558662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Ball Number (in order tested)</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4768"/>
        <c:crosses val="autoZero"/>
        <c:crossBetween val="midCat"/>
      </c:valAx>
      <c:valAx>
        <c:axId val="558664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b="1">
                    <a:solidFill>
                      <a:sysClr val="windowText" lastClr="000000"/>
                    </a:solidFill>
                  </a:rPr>
                  <a:t>Pressure</a:t>
                </a:r>
                <a:r>
                  <a:rPr lang="en-US" sz="1200" b="1" baseline="0">
                    <a:solidFill>
                      <a:sysClr val="windowText" lastClr="000000"/>
                    </a:solidFill>
                  </a:rPr>
                  <a:t> difference (psi)</a:t>
                </a:r>
                <a:endParaRPr lang="en-US" sz="1200" b="1">
                  <a:solidFill>
                    <a:sysClr val="windowText" lastClr="000000"/>
                  </a:solidFill>
                </a:endParaRPr>
              </a:p>
            </c:rich>
          </c:tx>
          <c:layout>
            <c:manualLayout>
              <c:xMode val="edge"/>
              <c:yMode val="edge"/>
              <c:x val="3.0555555555555555E-2"/>
              <c:y val="0.15361111111111111"/>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24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Several minutes later, while testing Colts' balls, </a:t>
            </a:r>
          </a:p>
          <a:p>
            <a:pPr>
              <a:defRPr b="1"/>
            </a:pPr>
            <a:r>
              <a:rPr lang="en-US" b="1"/>
              <a:t>The "accurate" but inconsistent gauge showed</a:t>
            </a:r>
            <a:r>
              <a:rPr lang="en-US" b="1" baseline="0"/>
              <a:t> the same drop relative to the over-reading, but consistent gauge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'split personality'!$E$18</c:f>
              <c:strCache>
                <c:ptCount val="1"/>
                <c:pt idx="0">
                  <c:v>Non-Logo gauge minus Logo gauge</c:v>
                </c:pt>
              </c:strCache>
            </c:strRef>
          </c:tx>
          <c:spPr>
            <a:ln w="19050" cap="rnd">
              <a:noFill/>
              <a:round/>
            </a:ln>
            <a:effectLst/>
          </c:spPr>
          <c:marker>
            <c:symbol val="circle"/>
            <c:size val="5"/>
            <c:spPr>
              <a:solidFill>
                <a:schemeClr val="tx1"/>
              </a:solidFill>
              <a:ln w="9525">
                <a:solidFill>
                  <a:schemeClr val="tx1"/>
                </a:solidFill>
              </a:ln>
              <a:effectLst/>
            </c:spPr>
          </c:marker>
          <c:xVal>
            <c:numRef>
              <c:f>'split personality'!$D$19:$D$24</c:f>
              <c:numCache>
                <c:formatCode>General</c:formatCode>
                <c:ptCount val="6"/>
                <c:pt idx="0">
                  <c:v>0.5</c:v>
                </c:pt>
                <c:pt idx="1">
                  <c:v>1</c:v>
                </c:pt>
                <c:pt idx="2">
                  <c:v>1.5</c:v>
                </c:pt>
                <c:pt idx="3">
                  <c:v>2</c:v>
                </c:pt>
                <c:pt idx="4">
                  <c:v>3</c:v>
                </c:pt>
                <c:pt idx="5">
                  <c:v>4</c:v>
                </c:pt>
              </c:numCache>
            </c:numRef>
          </c:xVal>
          <c:yVal>
            <c:numRef>
              <c:f>'split personality'!$E$19:$E$24</c:f>
              <c:numCache>
                <c:formatCode>0.00</c:formatCode>
                <c:ptCount val="6"/>
                <c:pt idx="1">
                  <c:v>-0.34999999999999964</c:v>
                </c:pt>
                <c:pt idx="3">
                  <c:v>-0.44999999999999929</c:v>
                </c:pt>
                <c:pt idx="4">
                  <c:v>-0.44999999999999929</c:v>
                </c:pt>
                <c:pt idx="5">
                  <c:v>-0.40000000000000036</c:v>
                </c:pt>
              </c:numCache>
            </c:numRef>
          </c:yVal>
          <c:smooth val="0"/>
        </c:ser>
        <c:ser>
          <c:idx val="1"/>
          <c:order val="1"/>
          <c:tx>
            <c:strRef>
              <c:f>'split personality'!$F$18</c:f>
              <c:strCache>
                <c:ptCount val="1"/>
                <c:pt idx="0">
                  <c:v>Average difference between high and low (carried from Patriots graph)</c:v>
                </c:pt>
              </c:strCache>
            </c:strRef>
          </c:tx>
          <c:spPr>
            <a:ln w="19050" cap="rnd">
              <a:solidFill>
                <a:schemeClr val="tx1"/>
              </a:solidFill>
              <a:prstDash val="dash"/>
              <a:round/>
            </a:ln>
            <a:effectLst/>
          </c:spPr>
          <c:marker>
            <c:symbol val="none"/>
          </c:marker>
          <c:dPt>
            <c:idx val="3"/>
            <c:marker>
              <c:symbol val="none"/>
            </c:marker>
            <c:bubble3D val="0"/>
            <c:spPr>
              <a:ln w="19050" cap="rnd">
                <a:noFill/>
                <a:prstDash val="dash"/>
                <a:round/>
              </a:ln>
              <a:effectLst/>
            </c:spPr>
          </c:dPt>
          <c:xVal>
            <c:numRef>
              <c:f>'split personality'!$D$19:$D$24</c:f>
              <c:numCache>
                <c:formatCode>General</c:formatCode>
                <c:ptCount val="6"/>
                <c:pt idx="0">
                  <c:v>0.5</c:v>
                </c:pt>
                <c:pt idx="1">
                  <c:v>1</c:v>
                </c:pt>
                <c:pt idx="2">
                  <c:v>1.5</c:v>
                </c:pt>
                <c:pt idx="3">
                  <c:v>2</c:v>
                </c:pt>
                <c:pt idx="4">
                  <c:v>3</c:v>
                </c:pt>
                <c:pt idx="5">
                  <c:v>4</c:v>
                </c:pt>
              </c:numCache>
            </c:numRef>
          </c:xVal>
          <c:yVal>
            <c:numRef>
              <c:f>'split personality'!$F$19:$F$24</c:f>
              <c:numCache>
                <c:formatCode>0.00</c:formatCode>
                <c:ptCount val="6"/>
                <c:pt idx="0">
                  <c:v>-0.33333333333333331</c:v>
                </c:pt>
                <c:pt idx="1">
                  <c:v>-0.33333333333333331</c:v>
                </c:pt>
                <c:pt idx="2">
                  <c:v>-0.33333333333333331</c:v>
                </c:pt>
                <c:pt idx="3">
                  <c:v>-0.43000000000000044</c:v>
                </c:pt>
                <c:pt idx="4">
                  <c:v>-0.43000000000000044</c:v>
                </c:pt>
                <c:pt idx="5">
                  <c:v>-0.43000000000000044</c:v>
                </c:pt>
              </c:numCache>
            </c:numRef>
          </c:yVal>
          <c:smooth val="0"/>
        </c:ser>
        <c:dLbls>
          <c:showLegendKey val="0"/>
          <c:showVal val="0"/>
          <c:showCatName val="0"/>
          <c:showSerName val="0"/>
          <c:showPercent val="0"/>
          <c:showBubbleSize val="0"/>
        </c:dLbls>
        <c:axId val="558664376"/>
        <c:axId val="558663984"/>
      </c:scatterChart>
      <c:valAx>
        <c:axId val="558664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Ball Number (in order tested)</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3984"/>
        <c:crosses val="autoZero"/>
        <c:crossBetween val="midCat"/>
      </c:valAx>
      <c:valAx>
        <c:axId val="558663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Pressure</a:t>
                </a:r>
                <a:r>
                  <a:rPr lang="en-US" sz="1400" b="1" baseline="0"/>
                  <a:t> diference (psi)</a:t>
                </a:r>
                <a:endParaRPr lang="en-US"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4376"/>
        <c:crosses val="autoZero"/>
        <c:crossBetween val="midCat"/>
      </c:valAx>
      <c:spPr>
        <a:noFill/>
        <a:ln>
          <a:noFill/>
        </a:ln>
        <a:effectLst/>
      </c:spPr>
    </c:plotArea>
    <c:legend>
      <c:legendPos val="b"/>
      <c:layout>
        <c:manualLayout>
          <c:xMode val="edge"/>
          <c:yMode val="edge"/>
          <c:x val="9.9442599795507486E-2"/>
          <c:y val="0.79204330708661419"/>
          <c:w val="0.86537161770441351"/>
          <c:h val="0.2046233595800524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On the intercepted ball, the non-logo gauge appears to show the same shift after one measurement (down) consistent with testing on the Colts balls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'split personality'!$B$28</c:f>
              <c:strCache>
                <c:ptCount val="1"/>
                <c:pt idx="0">
                  <c:v>Logo reading</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'split personality'!$A$29:$A$30</c:f>
              <c:numCache>
                <c:formatCode>General</c:formatCode>
                <c:ptCount val="2"/>
                <c:pt idx="0">
                  <c:v>1</c:v>
                </c:pt>
                <c:pt idx="1">
                  <c:v>2</c:v>
                </c:pt>
              </c:numCache>
            </c:numRef>
          </c:xVal>
          <c:yVal>
            <c:numRef>
              <c:f>'split personality'!$B$29:$B$30</c:f>
              <c:numCache>
                <c:formatCode>0.00</c:formatCode>
                <c:ptCount val="2"/>
                <c:pt idx="0">
                  <c:v>11.45</c:v>
                </c:pt>
                <c:pt idx="1">
                  <c:v>11.35</c:v>
                </c:pt>
              </c:numCache>
            </c:numRef>
          </c:yVal>
          <c:smooth val="0"/>
        </c:ser>
        <c:ser>
          <c:idx val="1"/>
          <c:order val="1"/>
          <c:tx>
            <c:strRef>
              <c:f>'split personality'!$C$28</c:f>
              <c:strCache>
                <c:ptCount val="1"/>
                <c:pt idx="0">
                  <c:v>What gauge would have read if the average bias stayed constant</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'split personality'!$A$29:$A$30</c:f>
              <c:numCache>
                <c:formatCode>General</c:formatCode>
                <c:ptCount val="2"/>
                <c:pt idx="0">
                  <c:v>1</c:v>
                </c:pt>
                <c:pt idx="1">
                  <c:v>2</c:v>
                </c:pt>
              </c:numCache>
            </c:numRef>
          </c:xVal>
          <c:yVal>
            <c:numRef>
              <c:f>'split personality'!$C$29:$C$30</c:f>
              <c:numCache>
                <c:formatCode>0.00</c:formatCode>
                <c:ptCount val="2"/>
                <c:pt idx="0">
                  <c:v>11.253333333333334</c:v>
                </c:pt>
                <c:pt idx="1">
                  <c:v>11.253333333333334</c:v>
                </c:pt>
              </c:numCache>
            </c:numRef>
          </c:yVal>
          <c:smooth val="0"/>
        </c:ser>
        <c:dLbls>
          <c:showLegendKey val="0"/>
          <c:showVal val="0"/>
          <c:showCatName val="0"/>
          <c:showSerName val="0"/>
          <c:showPercent val="0"/>
          <c:showBubbleSize val="0"/>
        </c:dLbls>
        <c:axId val="558661240"/>
        <c:axId val="558662808"/>
      </c:scatterChart>
      <c:valAx>
        <c:axId val="5586612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Ball Number (in order tested)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2808"/>
        <c:crosses val="autoZero"/>
        <c:crossBetween val="midCat"/>
      </c:valAx>
      <c:valAx>
        <c:axId val="558662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Amount by which logo gauge read more than non-logo gauge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6612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When checking</a:t>
            </a:r>
            <a:r>
              <a:rPr lang="en-US" baseline="0">
                <a:solidFill>
                  <a:schemeClr val="tx1"/>
                </a:solidFill>
              </a:rPr>
              <a:t> the intercepted ball, t</a:t>
            </a:r>
            <a:r>
              <a:rPr lang="en-US">
                <a:solidFill>
                  <a:schemeClr val="tx1"/>
                </a:solidFill>
              </a:rPr>
              <a:t>he Colts gauge agrees with the over-reading gauge that</a:t>
            </a:r>
            <a:r>
              <a:rPr lang="en-US" baseline="0">
                <a:solidFill>
                  <a:schemeClr val="tx1"/>
                </a:solidFill>
              </a:rPr>
              <a:t> the referee says was used. The Colts gauge over-read (</a:t>
            </a:r>
            <a:r>
              <a:rPr lang="en-US" b="1" baseline="0">
                <a:solidFill>
                  <a:schemeClr val="tx1"/>
                </a:solidFill>
              </a:rPr>
              <a:t>unlike</a:t>
            </a:r>
            <a:r>
              <a:rPr lang="en-US" baseline="0">
                <a:solidFill>
                  <a:schemeClr val="tx1"/>
                </a:solidFill>
              </a:rPr>
              <a:t> the "accurate" gauge Wells claimed was used by Colts, Patriots, and the referee)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tx>
            <c:strRef>
              <c:f>provRef!$H$47</c:f>
              <c:strCache>
                <c:ptCount val="1"/>
                <c:pt idx="0">
                  <c:v> Wells quotes Colts as saying "approximately 11".  Colts unlikely to say "hey ref, this ball has approximately 11 psi."  They would have said "under 11" if their gauge said so, or 11, or 11.1 perhaps, which Wells would have called "approximately 11."</c:v>
                </c:pt>
              </c:strCache>
            </c:strRef>
          </c:tx>
          <c:spPr>
            <a:ln w="19050" cap="rnd">
              <a:noFill/>
              <a:round/>
            </a:ln>
            <a:effectLst/>
          </c:spPr>
          <c:marker>
            <c:symbol val="circle"/>
            <c:size val="5"/>
            <c:spPr>
              <a:noFill/>
              <a:ln w="22225">
                <a:solidFill>
                  <a:schemeClr val="tx1"/>
                </a:solidFill>
              </a:ln>
              <a:effectLst/>
            </c:spPr>
          </c:marker>
          <c:xVal>
            <c:numRef>
              <c:f>provRef!$G$48:$G$56</c:f>
              <c:numCache>
                <c:formatCode>General</c:formatCode>
                <c:ptCount val="9"/>
                <c:pt idx="0">
                  <c:v>0</c:v>
                </c:pt>
                <c:pt idx="1">
                  <c:v>0.01</c:v>
                </c:pt>
                <c:pt idx="2">
                  <c:v>0</c:v>
                </c:pt>
                <c:pt idx="3" formatCode="0.0">
                  <c:v>8</c:v>
                </c:pt>
                <c:pt idx="4" formatCode="0.0">
                  <c:v>8</c:v>
                </c:pt>
                <c:pt idx="5" formatCode="0.0">
                  <c:v>8</c:v>
                </c:pt>
                <c:pt idx="6">
                  <c:v>0</c:v>
                </c:pt>
                <c:pt idx="7" formatCode="0.0">
                  <c:v>8</c:v>
                </c:pt>
                <c:pt idx="8">
                  <c:v>0</c:v>
                </c:pt>
              </c:numCache>
            </c:numRef>
          </c:xVal>
          <c:yVal>
            <c:numRef>
              <c:f>provRef!$H$48:$H$56</c:f>
              <c:numCache>
                <c:formatCode>General</c:formatCode>
                <c:ptCount val="9"/>
                <c:pt idx="0">
                  <c:v>11</c:v>
                </c:pt>
                <c:pt idx="1">
                  <c:v>11.1</c:v>
                </c:pt>
              </c:numCache>
            </c:numRef>
          </c:yVal>
          <c:smooth val="0"/>
        </c:ser>
        <c:ser>
          <c:idx val="1"/>
          <c:order val="1"/>
          <c:tx>
            <c:strRef>
              <c:f>provRef!$I$47</c:f>
              <c:strCache>
                <c:ptCount val="1"/>
                <c:pt idx="0">
                  <c:v>Predicted psi of intercepted (wet) ball AFTER the Colts measured it, as it would  appear on the Colts gauge, presuming they measured 11.05.  Right-most point includes 0.06 psi loss due to this being the sixth time the NFL put a gauge in it</c:v>
                </c:pt>
              </c:strCache>
            </c:strRef>
          </c:tx>
          <c:spPr>
            <a:ln w="19050" cap="rnd">
              <a:solidFill>
                <a:schemeClr val="tx1"/>
              </a:solidFill>
              <a:prstDash val="dashDot"/>
              <a:round/>
              <a:tailEnd type="arrow"/>
            </a:ln>
            <a:effectLst/>
          </c:spPr>
          <c:marker>
            <c:symbol val="circle"/>
            <c:size val="5"/>
            <c:spPr>
              <a:noFill/>
              <a:ln w="9525">
                <a:solidFill>
                  <a:schemeClr val="tx1"/>
                </a:solidFill>
              </a:ln>
              <a:effectLst/>
            </c:spPr>
          </c:marker>
          <c:xVal>
            <c:numRef>
              <c:f>provRef!$G$48:$G$56</c:f>
              <c:numCache>
                <c:formatCode>General</c:formatCode>
                <c:ptCount val="9"/>
                <c:pt idx="0">
                  <c:v>0</c:v>
                </c:pt>
                <c:pt idx="1">
                  <c:v>0.01</c:v>
                </c:pt>
                <c:pt idx="2">
                  <c:v>0</c:v>
                </c:pt>
                <c:pt idx="3" formatCode="0.0">
                  <c:v>8</c:v>
                </c:pt>
                <c:pt idx="4" formatCode="0.0">
                  <c:v>8</c:v>
                </c:pt>
                <c:pt idx="5" formatCode="0.0">
                  <c:v>8</c:v>
                </c:pt>
                <c:pt idx="6">
                  <c:v>0</c:v>
                </c:pt>
                <c:pt idx="7" formatCode="0.0">
                  <c:v>8</c:v>
                </c:pt>
                <c:pt idx="8">
                  <c:v>0</c:v>
                </c:pt>
              </c:numCache>
            </c:numRef>
          </c:xVal>
          <c:yVal>
            <c:numRef>
              <c:f>provRef!$I$48:$I$56</c:f>
              <c:numCache>
                <c:formatCode>General</c:formatCode>
                <c:ptCount val="9"/>
                <c:pt idx="2">
                  <c:v>11.05</c:v>
                </c:pt>
                <c:pt idx="3" formatCode="_(* #,##0.00_);_(* \(#,##0.00\);_(* &quot;-&quot;??_);_(@_)">
                  <c:v>11.841805910715053</c:v>
                </c:pt>
              </c:numCache>
            </c:numRef>
          </c:yVal>
          <c:smooth val="0"/>
        </c:ser>
        <c:ser>
          <c:idx val="2"/>
          <c:order val="2"/>
          <c:tx>
            <c:strRef>
              <c:f>provRef!$J$47</c:f>
              <c:strCache>
                <c:ptCount val="1"/>
                <c:pt idx="0">
                  <c:v>Game day result using the gauge the referee said he used (which over-reads similarly to the Colts and Patiots gauges)</c:v>
                </c:pt>
              </c:strCache>
            </c:strRef>
          </c:tx>
          <c:spPr>
            <a:ln w="19050" cap="rnd">
              <a:noFill/>
              <a:round/>
            </a:ln>
            <a:effectLst/>
          </c:spPr>
          <c:marker>
            <c:symbol val="circle"/>
            <c:size val="5"/>
            <c:spPr>
              <a:solidFill>
                <a:schemeClr val="tx1"/>
              </a:solidFill>
              <a:ln w="9525">
                <a:solidFill>
                  <a:schemeClr val="tx1"/>
                </a:solidFill>
              </a:ln>
              <a:effectLst/>
            </c:spPr>
          </c:marker>
          <c:xVal>
            <c:numRef>
              <c:f>provRef!$G$48:$G$56</c:f>
              <c:numCache>
                <c:formatCode>General</c:formatCode>
                <c:ptCount val="9"/>
                <c:pt idx="0">
                  <c:v>0</c:v>
                </c:pt>
                <c:pt idx="1">
                  <c:v>0.01</c:v>
                </c:pt>
                <c:pt idx="2">
                  <c:v>0</c:v>
                </c:pt>
                <c:pt idx="3" formatCode="0.0">
                  <c:v>8</c:v>
                </c:pt>
                <c:pt idx="4" formatCode="0.0">
                  <c:v>8</c:v>
                </c:pt>
                <c:pt idx="5" formatCode="0.0">
                  <c:v>8</c:v>
                </c:pt>
                <c:pt idx="6">
                  <c:v>0</c:v>
                </c:pt>
                <c:pt idx="7" formatCode="0.0">
                  <c:v>8</c:v>
                </c:pt>
                <c:pt idx="8">
                  <c:v>0</c:v>
                </c:pt>
              </c:numCache>
            </c:numRef>
          </c:xVal>
          <c:yVal>
            <c:numRef>
              <c:f>provRef!$J$48:$J$56</c:f>
              <c:numCache>
                <c:formatCode>General</c:formatCode>
                <c:ptCount val="9"/>
                <c:pt idx="4">
                  <c:v>11.75</c:v>
                </c:pt>
              </c:numCache>
            </c:numRef>
          </c:yVal>
          <c:smooth val="0"/>
        </c:ser>
        <c:ser>
          <c:idx val="3"/>
          <c:order val="3"/>
          <c:tx>
            <c:strRef>
              <c:f>provRef!$K$47</c:f>
              <c:strCache>
                <c:ptCount val="1"/>
                <c:pt idx="0">
                  <c:v>Right most point: Game-day result of more accurate gauge (ref said he did NOT use)  (Avg 11.45, 11.35).  Left point calcuated to back out the pressure rise due to warming, backing out the pressure loss from interting the guage 4 or 5 times (average 4.5)</c:v>
                </c:pt>
              </c:strCache>
            </c:strRef>
          </c:tx>
          <c:spPr>
            <a:ln w="19050" cap="rnd">
              <a:solidFill>
                <a:schemeClr val="tx1">
                  <a:alpha val="98000"/>
                </a:schemeClr>
              </a:solidFill>
              <a:prstDash val="sysDot"/>
              <a:round/>
              <a:tailEnd type="triangle"/>
            </a:ln>
            <a:effectLst/>
          </c:spPr>
          <c:marker>
            <c:symbol val="star"/>
            <c:size val="5"/>
            <c:spPr>
              <a:noFill/>
              <a:ln w="12700">
                <a:solidFill>
                  <a:schemeClr val="tx1"/>
                </a:solidFill>
              </a:ln>
              <a:effectLst/>
            </c:spPr>
          </c:marker>
          <c:dPt>
            <c:idx val="6"/>
            <c:marker>
              <c:symbol val="none"/>
            </c:marker>
            <c:bubble3D val="0"/>
          </c:dPt>
          <c:xVal>
            <c:numRef>
              <c:f>provRef!$G$48:$G$56</c:f>
              <c:numCache>
                <c:formatCode>General</c:formatCode>
                <c:ptCount val="9"/>
                <c:pt idx="0">
                  <c:v>0</c:v>
                </c:pt>
                <c:pt idx="1">
                  <c:v>0.01</c:v>
                </c:pt>
                <c:pt idx="2">
                  <c:v>0</c:v>
                </c:pt>
                <c:pt idx="3" formatCode="0.0">
                  <c:v>8</c:v>
                </c:pt>
                <c:pt idx="4" formatCode="0.0">
                  <c:v>8</c:v>
                </c:pt>
                <c:pt idx="5" formatCode="0.0">
                  <c:v>8</c:v>
                </c:pt>
                <c:pt idx="6">
                  <c:v>0</c:v>
                </c:pt>
                <c:pt idx="7" formatCode="0.0">
                  <c:v>8</c:v>
                </c:pt>
                <c:pt idx="8">
                  <c:v>0</c:v>
                </c:pt>
              </c:numCache>
            </c:numRef>
          </c:xVal>
          <c:yVal>
            <c:numRef>
              <c:f>provRef!$K$48:$K$56</c:f>
              <c:numCache>
                <c:formatCode>General</c:formatCode>
                <c:ptCount val="9"/>
                <c:pt idx="5">
                  <c:v>11.4</c:v>
                </c:pt>
                <c:pt idx="6" formatCode="_(* #,##0.00_);_(* \(#,##0.00\);_(* &quot;-&quot;??_);_(@_)">
                  <c:v>10.470419424102692</c:v>
                </c:pt>
              </c:numCache>
            </c:numRef>
          </c:yVal>
          <c:smooth val="0"/>
        </c:ser>
        <c:ser>
          <c:idx val="4"/>
          <c:order val="4"/>
          <c:tx>
            <c:strRef>
              <c:f>provRef!$L$47</c:f>
              <c:strCache>
                <c:ptCount val="1"/>
                <c:pt idx="0">
                  <c:v>Same as above entry, only using the pressure rise rate for a wet ball intead of a dry ball</c:v>
                </c:pt>
              </c:strCache>
            </c:strRef>
          </c:tx>
          <c:spPr>
            <a:ln w="19050" cap="rnd">
              <a:solidFill>
                <a:schemeClr val="tx1"/>
              </a:solidFill>
              <a:prstDash val="dash"/>
              <a:round/>
              <a:tailEnd type="triangle"/>
            </a:ln>
            <a:effectLst/>
          </c:spPr>
          <c:marker>
            <c:symbol val="star"/>
            <c:size val="5"/>
            <c:spPr>
              <a:noFill/>
              <a:ln w="9525">
                <a:solidFill>
                  <a:schemeClr val="tx1"/>
                </a:solidFill>
              </a:ln>
              <a:effectLst/>
            </c:spPr>
          </c:marker>
          <c:dPt>
            <c:idx val="8"/>
            <c:marker>
              <c:symbol val="none"/>
            </c:marker>
            <c:bubble3D val="0"/>
          </c:dPt>
          <c:xVal>
            <c:numRef>
              <c:f>provRef!$G$48:$G$56</c:f>
              <c:numCache>
                <c:formatCode>General</c:formatCode>
                <c:ptCount val="9"/>
                <c:pt idx="0">
                  <c:v>0</c:v>
                </c:pt>
                <c:pt idx="1">
                  <c:v>0.01</c:v>
                </c:pt>
                <c:pt idx="2">
                  <c:v>0</c:v>
                </c:pt>
                <c:pt idx="3" formatCode="0.0">
                  <c:v>8</c:v>
                </c:pt>
                <c:pt idx="4" formatCode="0.0">
                  <c:v>8</c:v>
                </c:pt>
                <c:pt idx="5" formatCode="0.0">
                  <c:v>8</c:v>
                </c:pt>
                <c:pt idx="6">
                  <c:v>0</c:v>
                </c:pt>
                <c:pt idx="7" formatCode="0.0">
                  <c:v>8</c:v>
                </c:pt>
                <c:pt idx="8">
                  <c:v>0</c:v>
                </c:pt>
              </c:numCache>
            </c:numRef>
          </c:xVal>
          <c:yVal>
            <c:numRef>
              <c:f>provRef!$L$48:$L$56</c:f>
              <c:numCache>
                <c:formatCode>General</c:formatCode>
                <c:ptCount val="9"/>
                <c:pt idx="7">
                  <c:v>11.4</c:v>
                </c:pt>
                <c:pt idx="8" formatCode="_(* #,##0.00_);_(* \(#,##0.00\);_(* &quot;-&quot;??_);_(@_)">
                  <c:v>10.690899132652332</c:v>
                </c:pt>
              </c:numCache>
            </c:numRef>
          </c:yVal>
          <c:smooth val="0"/>
        </c:ser>
        <c:dLbls>
          <c:showLegendKey val="0"/>
          <c:showVal val="0"/>
          <c:showCatName val="0"/>
          <c:showSerName val="0"/>
          <c:showPercent val="0"/>
          <c:showBubbleSize val="0"/>
        </c:dLbls>
        <c:axId val="405910640"/>
        <c:axId val="405912208"/>
      </c:scatterChart>
      <c:valAx>
        <c:axId val="405910640"/>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Minutes after the intercepted ball came inside (see witness</a:t>
                </a:r>
                <a:r>
                  <a:rPr lang="en-US" sz="1200" baseline="0">
                    <a:solidFill>
                      <a:schemeClr val="tx1"/>
                    </a:solidFill>
                  </a:rPr>
                  <a:t> time line)</a:t>
                </a:r>
                <a:endParaRPr lang="en-US" sz="1200">
                  <a:solidFill>
                    <a:schemeClr val="tx1"/>
                  </a:solidFill>
                </a:endParaRP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5912208"/>
        <c:crosses val="autoZero"/>
        <c:crossBetween val="midCat"/>
      </c:valAx>
      <c:valAx>
        <c:axId val="40591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Pressure claimed by gauges (psi)</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0591064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alpha val="9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The intercepted ball's rising pressure as compared to the Patriots gauge readings indicated by the Wells Report</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842847769028871"/>
          <c:y val="0.14285011839143197"/>
          <c:w val="0.78834930008748905"/>
          <c:h val="0.29461800165684088"/>
        </c:manualLayout>
      </c:layout>
      <c:scatterChart>
        <c:scatterStyle val="lineMarker"/>
        <c:varyColors val="0"/>
        <c:ser>
          <c:idx val="0"/>
          <c:order val="0"/>
          <c:tx>
            <c:strRef>
              <c:f>provRef!$C$84</c:f>
              <c:strCache>
                <c:ptCount val="1"/>
                <c:pt idx="0">
                  <c:v>Non-tampered "wet" ball (or ball deflated by the amount the gauges disagree by), calculated from Exponent data after adusting for correct starting temperature</c:v>
                </c:pt>
              </c:strCache>
            </c:strRef>
          </c:tx>
          <c:spPr>
            <a:ln w="19050" cap="rnd">
              <a:solidFill>
                <a:schemeClr val="tx1"/>
              </a:solidFill>
              <a:prstDash val="dash"/>
              <a:round/>
            </a:ln>
            <a:effectLst/>
          </c:spPr>
          <c:marker>
            <c:symbol val="none"/>
          </c:marker>
          <c:xVal>
            <c:numRef>
              <c:f>provRef!$B$85:$B$97</c:f>
              <c:numCache>
                <c:formatCode>0.0</c:formatCode>
                <c:ptCount val="13"/>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numCache>
            </c:numRef>
          </c:xVal>
          <c:yVal>
            <c:numRef>
              <c:f>provRef!$C$85:$C$97</c:f>
              <c:numCache>
                <c:formatCode>_(* #,##0.00_);_(* \(#,##0.00\);_(* "-"??_);_(@_)</c:formatCode>
                <c:ptCount val="13"/>
                <c:pt idx="0">
                  <c:v>11.004351686369816</c:v>
                </c:pt>
                <c:pt idx="1">
                  <c:v>11.500091039165328</c:v>
                </c:pt>
                <c:pt idx="2">
                  <c:v>11.796157597084868</c:v>
                </c:pt>
                <c:pt idx="3">
                  <c:v>12.005102553929792</c:v>
                </c:pt>
              </c:numCache>
            </c:numRef>
          </c:yVal>
          <c:smooth val="0"/>
        </c:ser>
        <c:ser>
          <c:idx val="1"/>
          <c:order val="1"/>
          <c:tx>
            <c:strRef>
              <c:f>provRef!$D$84</c:f>
              <c:strCache>
                <c:ptCount val="1"/>
                <c:pt idx="0">
                  <c:v>Pressures indicated by Wells report, with range of times they could have been measured</c:v>
                </c:pt>
              </c:strCache>
            </c:strRef>
          </c:tx>
          <c:spPr>
            <a:ln w="19050" cap="rnd">
              <a:solidFill>
                <a:schemeClr val="tx1"/>
              </a:solidFill>
              <a:round/>
            </a:ln>
            <a:effectLst/>
          </c:spPr>
          <c:marker>
            <c:symbol val="none"/>
          </c:marker>
          <c:dPt>
            <c:idx val="6"/>
            <c:marker>
              <c:symbol val="none"/>
            </c:marker>
            <c:bubble3D val="0"/>
            <c:spPr>
              <a:ln w="19050" cap="rnd">
                <a:noFill/>
                <a:round/>
              </a:ln>
              <a:effectLst/>
            </c:spPr>
          </c:dPt>
          <c:dPt>
            <c:idx val="8"/>
            <c:marker>
              <c:symbol val="none"/>
            </c:marker>
            <c:bubble3D val="0"/>
            <c:spPr>
              <a:ln w="19050" cap="rnd">
                <a:noFill/>
                <a:round/>
              </a:ln>
              <a:effectLst/>
            </c:spPr>
          </c:dPt>
          <c:xVal>
            <c:numRef>
              <c:f>provRef!$B$85:$B$97</c:f>
              <c:numCache>
                <c:formatCode>0.0</c:formatCode>
                <c:ptCount val="13"/>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numCache>
            </c:numRef>
          </c:xVal>
          <c:yVal>
            <c:numRef>
              <c:f>provRef!$D$85:$D$97</c:f>
              <c:numCache>
                <c:formatCode>General</c:formatCode>
                <c:ptCount val="13"/>
                <c:pt idx="4">
                  <c:v>11.35</c:v>
                </c:pt>
                <c:pt idx="5">
                  <c:v>11.35</c:v>
                </c:pt>
                <c:pt idx="6">
                  <c:v>11.45</c:v>
                </c:pt>
                <c:pt idx="7">
                  <c:v>11.45</c:v>
                </c:pt>
                <c:pt idx="8">
                  <c:v>11.75</c:v>
                </c:pt>
                <c:pt idx="9">
                  <c:v>11.75</c:v>
                </c:pt>
              </c:numCache>
            </c:numRef>
          </c:yVal>
          <c:smooth val="0"/>
        </c:ser>
        <c:ser>
          <c:idx val="2"/>
          <c:order val="2"/>
          <c:tx>
            <c:strRef>
              <c:f>provRef!$E$84</c:f>
              <c:strCache>
                <c:ptCount val="1"/>
                <c:pt idx="0">
                  <c:v>Reported by Colts gauge</c:v>
                </c:pt>
              </c:strCache>
            </c:strRef>
          </c:tx>
          <c:spPr>
            <a:ln w="19050" cap="rnd">
              <a:noFill/>
              <a:round/>
            </a:ln>
            <a:effectLst/>
          </c:spPr>
          <c:marker>
            <c:symbol val="circle"/>
            <c:size val="5"/>
            <c:spPr>
              <a:solidFill>
                <a:schemeClr val="tx1"/>
              </a:solidFill>
              <a:ln w="9525">
                <a:solidFill>
                  <a:schemeClr val="tx1"/>
                </a:solidFill>
              </a:ln>
              <a:effectLst/>
            </c:spPr>
          </c:marker>
          <c:xVal>
            <c:numRef>
              <c:f>provRef!$B$85:$B$97</c:f>
              <c:numCache>
                <c:formatCode>0.0</c:formatCode>
                <c:ptCount val="13"/>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numCache>
            </c:numRef>
          </c:xVal>
          <c:yVal>
            <c:numRef>
              <c:f>provRef!$E$85:$E$97</c:f>
              <c:numCache>
                <c:formatCode>General</c:formatCode>
                <c:ptCount val="13"/>
                <c:pt idx="11">
                  <c:v>11.05</c:v>
                </c:pt>
              </c:numCache>
            </c:numRef>
          </c:yVal>
          <c:smooth val="0"/>
        </c:ser>
        <c:ser>
          <c:idx val="3"/>
          <c:order val="3"/>
          <c:tx>
            <c:strRef>
              <c:f>provRef!$F$84</c:f>
              <c:strCache>
                <c:ptCount val="1"/>
                <c:pt idx="0">
                  <c:v>The report makes it appear 11.75 could have been measured early, in addition to the 11.45 and 11.35 mentioned in the report.  But the gauges are too consistent to vary from 11.35 to 11.75 on the same ball at the same time</c:v>
                </c:pt>
              </c:strCache>
            </c:strRef>
          </c:tx>
          <c:spPr>
            <a:ln w="19050" cap="rnd">
              <a:noFill/>
              <a:round/>
            </a:ln>
            <a:effectLst/>
          </c:spPr>
          <c:marker>
            <c:symbol val="x"/>
            <c:size val="5"/>
            <c:spPr>
              <a:noFill/>
              <a:ln w="9525">
                <a:solidFill>
                  <a:schemeClr val="tx1"/>
                </a:solidFill>
              </a:ln>
              <a:effectLst/>
            </c:spPr>
          </c:marker>
          <c:xVal>
            <c:numRef>
              <c:f>provRef!$B$85:$B$97</c:f>
              <c:numCache>
                <c:formatCode>0.0</c:formatCode>
                <c:ptCount val="13"/>
                <c:pt idx="0" formatCode="General">
                  <c:v>0</c:v>
                </c:pt>
                <c:pt idx="1">
                  <c:v>4</c:v>
                </c:pt>
                <c:pt idx="2">
                  <c:v>8</c:v>
                </c:pt>
                <c:pt idx="3" formatCode="_(* #,##0.00_);_(* \(#,##0.00\);_(* &quot;-&quot;??_);_(@_)">
                  <c:v>19.166666666666668</c:v>
                </c:pt>
                <c:pt idx="4">
                  <c:v>8.1999999999999993</c:v>
                </c:pt>
                <c:pt idx="5" formatCode="_(* #,##0.00_);_(* \(#,##0.00\);_(* &quot;-&quot;??_);_(@_)">
                  <c:v>9.1999999999999993</c:v>
                </c:pt>
                <c:pt idx="6" formatCode="_(* #,##0.00_);_(* \(#,##0.00\);_(* &quot;-&quot;??_);_(@_)">
                  <c:v>8.18</c:v>
                </c:pt>
                <c:pt idx="7" formatCode="_(* #,##0.00_);_(* \(#,##0.00\);_(* &quot;-&quot;??_);_(@_)">
                  <c:v>9.18</c:v>
                </c:pt>
                <c:pt idx="8">
                  <c:v>8.4</c:v>
                </c:pt>
                <c:pt idx="9">
                  <c:v>9.4</c:v>
                </c:pt>
                <c:pt idx="11" formatCode="General">
                  <c:v>0</c:v>
                </c:pt>
                <c:pt idx="12">
                  <c:v>4</c:v>
                </c:pt>
              </c:numCache>
            </c:numRef>
          </c:xVal>
          <c:yVal>
            <c:numRef>
              <c:f>provRef!$F$85:$F$97</c:f>
              <c:numCache>
                <c:formatCode>General</c:formatCode>
                <c:ptCount val="13"/>
              </c:numCache>
            </c:numRef>
          </c:yVal>
          <c:smooth val="0"/>
        </c:ser>
        <c:dLbls>
          <c:showLegendKey val="0"/>
          <c:showVal val="0"/>
          <c:showCatName val="0"/>
          <c:showSerName val="0"/>
          <c:showPercent val="0"/>
          <c:showBubbleSize val="0"/>
        </c:dLbls>
        <c:axId val="405911424"/>
        <c:axId val="405911032"/>
      </c:scatterChart>
      <c:valAx>
        <c:axId val="4059114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Minutes</a:t>
                </a:r>
                <a:r>
                  <a:rPr lang="en-US" baseline="0">
                    <a:solidFill>
                      <a:schemeClr val="tx1"/>
                    </a:solidFill>
                  </a:rPr>
                  <a:t> after the intercepted ball came inside (see time line)</a:t>
                </a:r>
                <a:endParaRPr lang="en-US">
                  <a:solidFill>
                    <a:schemeClr val="tx1"/>
                  </a:solidFill>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11032"/>
        <c:crosses val="autoZero"/>
        <c:crossBetween val="midCat"/>
      </c:valAx>
      <c:valAx>
        <c:axId val="405911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Pressure</a:t>
                </a:r>
                <a:r>
                  <a:rPr lang="en-US" baseline="0">
                    <a:solidFill>
                      <a:schemeClr val="tx1"/>
                    </a:solidFill>
                  </a:rPr>
                  <a:t> indicated by Colts or Patriots Gauges (psi)</a:t>
                </a:r>
                <a:endParaRPr lang="en-US">
                  <a:solidFill>
                    <a:schemeClr val="tx1"/>
                  </a:solidFill>
                </a:endParaRPr>
              </a:p>
            </c:rich>
          </c:tx>
          <c:layout>
            <c:manualLayout>
              <c:xMode val="edge"/>
              <c:yMode val="edge"/>
              <c:x val="2.7503718285214352E-2"/>
              <c:y val="9.808201089883092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5911424"/>
        <c:crosses val="autoZero"/>
        <c:crossBetween val="midCat"/>
      </c:valAx>
      <c:spPr>
        <a:noFill/>
        <a:ln>
          <a:noFill/>
        </a:ln>
        <a:effectLst/>
      </c:spPr>
    </c:plotArea>
    <c:legend>
      <c:legendPos val="b"/>
      <c:layout>
        <c:manualLayout>
          <c:xMode val="edge"/>
          <c:yMode val="edge"/>
          <c:x val="0.10311767729732643"/>
          <c:y val="0.57483640052003127"/>
          <c:w val="0.88279483814523174"/>
          <c:h val="0.290219763630595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6</xdr:col>
      <xdr:colOff>120650</xdr:colOff>
      <xdr:row>95</xdr:row>
      <xdr:rowOff>155574</xdr:rowOff>
    </xdr:from>
    <xdr:to>
      <xdr:col>13</xdr:col>
      <xdr:colOff>393700</xdr:colOff>
      <xdr:row>123</xdr:row>
      <xdr:rowOff>6350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597647</xdr:colOff>
      <xdr:row>135</xdr:row>
      <xdr:rowOff>74706</xdr:rowOff>
    </xdr:from>
    <xdr:to>
      <xdr:col>17</xdr:col>
      <xdr:colOff>522941</xdr:colOff>
      <xdr:row>155</xdr:row>
      <xdr:rowOff>120650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504824</xdr:colOff>
      <xdr:row>182</xdr:row>
      <xdr:rowOff>25400</xdr:rowOff>
    </xdr:from>
    <xdr:to>
      <xdr:col>18</xdr:col>
      <xdr:colOff>298449</xdr:colOff>
      <xdr:row>213</xdr:row>
      <xdr:rowOff>146050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92074</xdr:colOff>
      <xdr:row>239</xdr:row>
      <xdr:rowOff>82550</xdr:rowOff>
    </xdr:from>
    <xdr:to>
      <xdr:col>16</xdr:col>
      <xdr:colOff>495299</xdr:colOff>
      <xdr:row>268</xdr:row>
      <xdr:rowOff>158750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79375</xdr:colOff>
      <xdr:row>25</xdr:row>
      <xdr:rowOff>127000</xdr:rowOff>
    </xdr:from>
    <xdr:to>
      <xdr:col>4</xdr:col>
      <xdr:colOff>984250</xdr:colOff>
      <xdr:row>41</xdr:row>
      <xdr:rowOff>50800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24</xdr:row>
      <xdr:rowOff>120650</xdr:rowOff>
    </xdr:from>
    <xdr:to>
      <xdr:col>4</xdr:col>
      <xdr:colOff>1397000</xdr:colOff>
      <xdr:row>35</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311150</xdr:colOff>
      <xdr:row>24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0.16783</cdr:x>
      <cdr:y>0.22194</cdr:y>
    </cdr:from>
    <cdr:to>
      <cdr:x>0.43077</cdr:x>
      <cdr:y>0.49905</cdr:y>
    </cdr:to>
    <cdr:sp macro="" textlink="">
      <cdr:nvSpPr>
        <cdr:cNvPr id="5" name="TextBox 1"/>
        <cdr:cNvSpPr txBox="1"/>
      </cdr:nvSpPr>
      <cdr:spPr>
        <a:xfrm xmlns:a="http://schemas.openxmlformats.org/drawingml/2006/main">
          <a:off x="762000" y="1111250"/>
          <a:ext cx="1193800" cy="1387476"/>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The real problem:</a:t>
          </a:r>
        </a:p>
        <a:p xmlns:a="http://schemas.openxmlformats.org/drawingml/2006/main">
          <a:r>
            <a:rPr lang="en-US" sz="1100"/>
            <a:t>why so MUCH pressure?</a:t>
          </a:r>
        </a:p>
        <a:p xmlns:a="http://schemas.openxmlformats.org/drawingml/2006/main">
          <a:r>
            <a:rPr lang="en-US" sz="1100"/>
            <a:t>Answer:</a:t>
          </a:r>
          <a:r>
            <a:rPr lang="en-US" sz="1100" baseline="0"/>
            <a:t> Wells  omitted how many balls came out of bag when</a:t>
          </a:r>
          <a:endParaRPr lang="en-US" sz="1100"/>
        </a:p>
      </cdr:txBody>
    </cdr:sp>
  </cdr:relSizeAnchor>
  <cdr:relSizeAnchor xmlns:cdr="http://schemas.openxmlformats.org/drawingml/2006/chartDrawing">
    <cdr:from>
      <cdr:x>0.31049</cdr:x>
      <cdr:y>0.57197</cdr:y>
    </cdr:from>
    <cdr:to>
      <cdr:x>0.94825</cdr:x>
      <cdr:y>0.62207</cdr:y>
    </cdr:to>
    <cdr:sp macro="" textlink="">
      <cdr:nvSpPr>
        <cdr:cNvPr id="6" name="TextBox 1"/>
        <cdr:cNvSpPr txBox="1"/>
      </cdr:nvSpPr>
      <cdr:spPr>
        <a:xfrm xmlns:a="http://schemas.openxmlformats.org/drawingml/2006/main">
          <a:off x="1409700" y="2863850"/>
          <a:ext cx="2895600" cy="2508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 footballs have too little pressure</a:t>
          </a:r>
        </a:p>
      </cdr:txBody>
    </cdr:sp>
  </cdr:relSizeAnchor>
  <cdr:relSizeAnchor xmlns:cdr="http://schemas.openxmlformats.org/drawingml/2006/chartDrawing">
    <cdr:from>
      <cdr:x>0.58042</cdr:x>
      <cdr:y>0.7603</cdr:y>
    </cdr:from>
    <cdr:to>
      <cdr:x>0.94545</cdr:x>
      <cdr:y>0.98098</cdr:y>
    </cdr:to>
    <cdr:sp macro="" textlink="">
      <cdr:nvSpPr>
        <cdr:cNvPr id="7" name="TextBox 1"/>
        <cdr:cNvSpPr txBox="1"/>
      </cdr:nvSpPr>
      <cdr:spPr>
        <a:xfrm xmlns:a="http://schemas.openxmlformats.org/drawingml/2006/main">
          <a:off x="2635250" y="3806826"/>
          <a:ext cx="1657350" cy="11049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The</a:t>
          </a:r>
          <a:r>
            <a:rPr lang="en-US" sz="1100" baseline="0"/>
            <a:t> Wells Report described the footballs as being taken out of the bag one at a time as each was tested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0.01942</cdr:x>
      <cdr:y>0.12093</cdr:y>
    </cdr:from>
    <cdr:to>
      <cdr:x>0.45071</cdr:x>
      <cdr:y>0.27421</cdr:y>
    </cdr:to>
    <cdr:sp macro="" textlink="">
      <cdr:nvSpPr>
        <cdr:cNvPr id="2" name="TextBox 1"/>
        <cdr:cNvSpPr txBox="1"/>
      </cdr:nvSpPr>
      <cdr:spPr>
        <a:xfrm xmlns:a="http://schemas.openxmlformats.org/drawingml/2006/main">
          <a:off x="90677" y="610509"/>
          <a:ext cx="2014349" cy="77379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Top</a:t>
          </a:r>
          <a:r>
            <a:rPr lang="en-US" sz="1100" baseline="0"/>
            <a:t> </a:t>
          </a:r>
          <a:r>
            <a:rPr lang="en-US" sz="1100"/>
            <a:t>3 footballs</a:t>
          </a:r>
          <a:r>
            <a:rPr lang="en-US" sz="1100" baseline="0"/>
            <a:t> could not possibly be deflated: more pressure than predicted for a dry football out of the bag</a:t>
          </a:r>
        </a:p>
      </cdr:txBody>
    </cdr:sp>
  </cdr:relSizeAnchor>
  <cdr:relSizeAnchor xmlns:cdr="http://schemas.openxmlformats.org/drawingml/2006/chartDrawing">
    <cdr:from>
      <cdr:x>0.59167</cdr:x>
      <cdr:y>0.13816</cdr:y>
    </cdr:from>
    <cdr:to>
      <cdr:x>0.99375</cdr:x>
      <cdr:y>0.28289</cdr:y>
    </cdr:to>
    <cdr:sp macro="" textlink="">
      <cdr:nvSpPr>
        <cdr:cNvPr id="3" name="TextBox 1"/>
        <cdr:cNvSpPr txBox="1"/>
      </cdr:nvSpPr>
      <cdr:spPr>
        <a:xfrm xmlns:a="http://schemas.openxmlformats.org/drawingml/2006/main">
          <a:off x="2705099" y="533401"/>
          <a:ext cx="1838325" cy="5588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4 out of 12 balls definitely not deflated (when including the intercepted ball)</a:t>
          </a:r>
          <a:endParaRPr lang="en-US" sz="1100"/>
        </a:p>
      </cdr:txBody>
    </cdr:sp>
  </cdr:relSizeAnchor>
  <cdr:relSizeAnchor xmlns:cdr="http://schemas.openxmlformats.org/drawingml/2006/chartDrawing">
    <cdr:from>
      <cdr:x>0.67369</cdr:x>
      <cdr:y>0.29467</cdr:y>
    </cdr:from>
    <cdr:to>
      <cdr:x>0.96193</cdr:x>
      <cdr:y>0.49576</cdr:y>
    </cdr:to>
    <cdr:sp macro="" textlink="">
      <cdr:nvSpPr>
        <cdr:cNvPr id="4" name="TextBox 1"/>
        <cdr:cNvSpPr txBox="1"/>
      </cdr:nvSpPr>
      <cdr:spPr>
        <a:xfrm xmlns:a="http://schemas.openxmlformats.org/drawingml/2006/main">
          <a:off x="3146426" y="1618550"/>
          <a:ext cx="1346199" cy="110456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What about these footballs that don't fit always-in-the-bag don't fit always-out?</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0.14043</cdr:x>
      <cdr:y>0.13808</cdr:y>
    </cdr:from>
    <cdr:to>
      <cdr:x>0.49422</cdr:x>
      <cdr:y>0.27858</cdr:y>
    </cdr:to>
    <cdr:sp macro="" textlink="">
      <cdr:nvSpPr>
        <cdr:cNvPr id="2" name="TextBox 1"/>
        <cdr:cNvSpPr txBox="1"/>
      </cdr:nvSpPr>
      <cdr:spPr>
        <a:xfrm xmlns:a="http://schemas.openxmlformats.org/drawingml/2006/main">
          <a:off x="658138" y="750228"/>
          <a:ext cx="1658068" cy="76337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Top</a:t>
          </a:r>
          <a:r>
            <a:rPr lang="en-US" sz="1100" baseline="0"/>
            <a:t> </a:t>
          </a:r>
          <a:r>
            <a:rPr lang="en-US" sz="1100"/>
            <a:t>3 out</a:t>
          </a:r>
          <a:r>
            <a:rPr lang="en-US" sz="1100" baseline="0"/>
            <a:t> of bag nearly the whole time, warmed more by  handling (warm hands)</a:t>
          </a:r>
        </a:p>
      </cdr:txBody>
    </cdr:sp>
  </cdr:relSizeAnchor>
  <cdr:relSizeAnchor xmlns:cdr="http://schemas.openxmlformats.org/drawingml/2006/chartDrawing">
    <cdr:from>
      <cdr:x>0.65078</cdr:x>
      <cdr:y>0.33313</cdr:y>
    </cdr:from>
    <cdr:to>
      <cdr:x>0.99592</cdr:x>
      <cdr:y>0.47245</cdr:y>
    </cdr:to>
    <cdr:sp macro="" textlink="">
      <cdr:nvSpPr>
        <cdr:cNvPr id="4" name="TextBox 1"/>
        <cdr:cNvSpPr txBox="1"/>
      </cdr:nvSpPr>
      <cdr:spPr>
        <a:xfrm xmlns:a="http://schemas.openxmlformats.org/drawingml/2006/main">
          <a:off x="3039425" y="1804439"/>
          <a:ext cx="1611950" cy="75461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5 balls taken out for preliminary testing, put back in wet bag before official testing</a:t>
          </a:r>
          <a:endParaRPr lang="en-US" sz="1100"/>
        </a:p>
      </cdr:txBody>
    </cdr:sp>
  </cdr:relSizeAnchor>
  <cdr:relSizeAnchor xmlns:cdr="http://schemas.openxmlformats.org/drawingml/2006/chartDrawing">
    <cdr:from>
      <cdr:x>0.31407</cdr:x>
      <cdr:y>0.58617</cdr:y>
    </cdr:from>
    <cdr:to>
      <cdr:x>0.93406</cdr:x>
      <cdr:y>0.63247</cdr:y>
    </cdr:to>
    <cdr:sp macro="" textlink="">
      <cdr:nvSpPr>
        <cdr:cNvPr id="5" name="TextBox 1"/>
        <cdr:cNvSpPr txBox="1"/>
      </cdr:nvSpPr>
      <cdr:spPr>
        <a:xfrm xmlns:a="http://schemas.openxmlformats.org/drawingml/2006/main">
          <a:off x="1466850" y="3175000"/>
          <a:ext cx="2895600" cy="2508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3 balls remained in bag nearly all the time</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104775</xdr:colOff>
      <xdr:row>0</xdr:row>
      <xdr:rowOff>76200</xdr:rowOff>
    </xdr:from>
    <xdr:to>
      <xdr:col>17</xdr:col>
      <xdr:colOff>409575</xdr:colOff>
      <xdr:row>18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374650</xdr:colOff>
      <xdr:row>19</xdr:row>
      <xdr:rowOff>88900</xdr:rowOff>
    </xdr:from>
    <xdr:to>
      <xdr:col>15</xdr:col>
      <xdr:colOff>241300</xdr:colOff>
      <xdr:row>40</xdr:row>
      <xdr:rowOff>31750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273050</xdr:colOff>
      <xdr:row>33</xdr:row>
      <xdr:rowOff>133350</xdr:rowOff>
    </xdr:from>
    <xdr:to>
      <xdr:col>6</xdr:col>
      <xdr:colOff>260350</xdr:colOff>
      <xdr:row>51</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123825</xdr:colOff>
      <xdr:row>56</xdr:row>
      <xdr:rowOff>222250</xdr:rowOff>
    </xdr:from>
    <xdr:to>
      <xdr:col>14</xdr:col>
      <xdr:colOff>428625</xdr:colOff>
      <xdr:row>65</xdr:row>
      <xdr:rowOff>463550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373385</xdr:colOff>
      <xdr:row>58</xdr:row>
      <xdr:rowOff>289590</xdr:rowOff>
    </xdr:from>
    <xdr:to>
      <xdr:col>13</xdr:col>
      <xdr:colOff>337309</xdr:colOff>
      <xdr:row>60</xdr:row>
      <xdr:rowOff>467390</xdr:rowOff>
    </xdr:to>
    <xdr:sp macro="" textlink="">
      <xdr:nvSpPr>
        <xdr:cNvPr id="3" name="TextBox 1"/>
        <xdr:cNvSpPr txBox="1"/>
      </xdr:nvSpPr>
      <xdr:spPr>
        <a:xfrm rot="20757446">
          <a:off x="7967985" y="8944640"/>
          <a:ext cx="3989824" cy="9144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Pressure</a:t>
          </a:r>
          <a:r>
            <a:rPr lang="en-US" sz="1100" baseline="0"/>
            <a:t> the  accurate gauge would report if used earlier, before the ball pressure rose.  Top: if the ball was wet </a:t>
          </a:r>
          <a:br>
            <a:rPr lang="en-US" sz="1100" baseline="0"/>
          </a:br>
          <a:r>
            <a:rPr lang="en-US" sz="1100" baseline="0"/>
            <a:t>(had risen less), bottom: if ball was dry (had risen more)</a:t>
          </a:r>
          <a:endParaRPr lang="en-US" sz="1100"/>
        </a:p>
      </xdr:txBody>
    </xdr:sp>
    <xdr:clientData/>
  </xdr:twoCellAnchor>
  <xdr:twoCellAnchor>
    <xdr:from>
      <xdr:col>12</xdr:col>
      <xdr:colOff>476250</xdr:colOff>
      <xdr:row>57</xdr:row>
      <xdr:rowOff>552450</xdr:rowOff>
    </xdr:from>
    <xdr:to>
      <xdr:col>14</xdr:col>
      <xdr:colOff>369412</xdr:colOff>
      <xdr:row>57</xdr:row>
      <xdr:rowOff>1028701</xdr:rowOff>
    </xdr:to>
    <xdr:sp macro="" textlink="">
      <xdr:nvSpPr>
        <xdr:cNvPr id="4" name="TextBox 1"/>
        <xdr:cNvSpPr txBox="1"/>
      </xdr:nvSpPr>
      <xdr:spPr>
        <a:xfrm>
          <a:off x="11487150" y="8102600"/>
          <a:ext cx="1112362" cy="47625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Data</a:t>
          </a:r>
          <a:r>
            <a:rPr lang="en-US" sz="1100" baseline="0"/>
            <a:t> from over-reading gauge</a:t>
          </a:r>
          <a:endParaRPr lang="en-US" sz="1100"/>
        </a:p>
      </xdr:txBody>
    </xdr:sp>
    <xdr:clientData/>
  </xdr:twoCellAnchor>
  <xdr:twoCellAnchor>
    <xdr:from>
      <xdr:col>8</xdr:col>
      <xdr:colOff>44450</xdr:colOff>
      <xdr:row>57</xdr:row>
      <xdr:rowOff>679450</xdr:rowOff>
    </xdr:from>
    <xdr:to>
      <xdr:col>9</xdr:col>
      <xdr:colOff>255112</xdr:colOff>
      <xdr:row>58</xdr:row>
      <xdr:rowOff>50801</xdr:rowOff>
    </xdr:to>
    <xdr:sp macro="" textlink="">
      <xdr:nvSpPr>
        <xdr:cNvPr id="5" name="TextBox 1"/>
        <xdr:cNvSpPr txBox="1"/>
      </xdr:nvSpPr>
      <xdr:spPr>
        <a:xfrm>
          <a:off x="7639050" y="8229600"/>
          <a:ext cx="1112362" cy="47625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t>What Colts' gauge said on </a:t>
          </a:r>
          <a:br>
            <a:rPr lang="en-US" sz="1100"/>
          </a:br>
          <a:r>
            <a:rPr lang="en-US" sz="1100"/>
            <a:t>game day</a:t>
          </a:r>
        </a:p>
      </xdr:txBody>
    </xdr:sp>
    <xdr:clientData/>
  </xdr:twoCellAnchor>
  <xdr:twoCellAnchor>
    <xdr:from>
      <xdr:col>7</xdr:col>
      <xdr:colOff>539750</xdr:colOff>
      <xdr:row>83</xdr:row>
      <xdr:rowOff>38102</xdr:rowOff>
    </xdr:from>
    <xdr:to>
      <xdr:col>13</xdr:col>
      <xdr:colOff>476250</xdr:colOff>
      <xdr:row>97</xdr:row>
      <xdr:rowOff>138044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368300</xdr:colOff>
      <xdr:row>110</xdr:row>
      <xdr:rowOff>19050</xdr:rowOff>
    </xdr:from>
    <xdr:to>
      <xdr:col>13</xdr:col>
      <xdr:colOff>304800</xdr:colOff>
      <xdr:row>129</xdr:row>
      <xdr:rowOff>127000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83</xdr:row>
      <xdr:rowOff>0</xdr:rowOff>
    </xdr:from>
    <xdr:to>
      <xdr:col>21</xdr:col>
      <xdr:colOff>294409</xdr:colOff>
      <xdr:row>103</xdr:row>
      <xdr:rowOff>65314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584200</xdr:colOff>
      <xdr:row>83</xdr:row>
      <xdr:rowOff>25400</xdr:rowOff>
    </xdr:from>
    <xdr:to>
      <xdr:col>35</xdr:col>
      <xdr:colOff>590550</xdr:colOff>
      <xdr:row>103</xdr:row>
      <xdr:rowOff>90714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0.20767</cdr:x>
      <cdr:y>0.22515</cdr:y>
    </cdr:from>
    <cdr:to>
      <cdr:x>0.7786</cdr:x>
      <cdr:y>0.3655</cdr:y>
    </cdr:to>
    <cdr:sp macro="" textlink="">
      <cdr:nvSpPr>
        <cdr:cNvPr id="2" name="TextBox 1"/>
        <cdr:cNvSpPr txBox="1"/>
      </cdr:nvSpPr>
      <cdr:spPr>
        <a:xfrm xmlns:a="http://schemas.openxmlformats.org/drawingml/2006/main" rot="20890856">
          <a:off x="1152525" y="1466850"/>
          <a:ext cx="316865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aseline="0"/>
            <a:t> What Colts gauge would say if used later, as ball pressure rose (calculated from Exponent data)</a:t>
          </a:r>
          <a:endParaRPr lang="en-US" sz="1100"/>
        </a:p>
      </cdr:txBody>
    </cdr:sp>
  </cdr:relSizeAnchor>
  <cdr:relSizeAnchor xmlns:cdr="http://schemas.openxmlformats.org/drawingml/2006/chartDrawing">
    <cdr:from>
      <cdr:x>0.79271</cdr:x>
      <cdr:y>0.24464</cdr:y>
    </cdr:from>
    <cdr:to>
      <cdr:x>0.99314</cdr:x>
      <cdr:y>0.31774</cdr:y>
    </cdr:to>
    <cdr:sp macro="" textlink="">
      <cdr:nvSpPr>
        <cdr:cNvPr id="3" name="TextBox 1"/>
        <cdr:cNvSpPr txBox="1"/>
      </cdr:nvSpPr>
      <cdr:spPr>
        <a:xfrm xmlns:a="http://schemas.openxmlformats.org/drawingml/2006/main">
          <a:off x="4399438" y="1593849"/>
          <a:ext cx="1112362" cy="4762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Data</a:t>
          </a:r>
          <a:r>
            <a:rPr lang="en-US" sz="1100" baseline="0"/>
            <a:t> from accurate gauge</a:t>
          </a:r>
          <a:endParaRPr 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0.32778</cdr:x>
      <cdr:y>0.30595</cdr:y>
    </cdr:from>
    <cdr:to>
      <cdr:x>0.95694</cdr:x>
      <cdr:y>0.40757</cdr:y>
    </cdr:to>
    <cdr:sp macro="" textlink="">
      <cdr:nvSpPr>
        <cdr:cNvPr id="2" name="TextBox 1"/>
        <cdr:cNvSpPr txBox="1"/>
      </cdr:nvSpPr>
      <cdr:spPr>
        <a:xfrm xmlns:a="http://schemas.openxmlformats.org/drawingml/2006/main">
          <a:off x="1498600" y="1892245"/>
          <a:ext cx="2876550" cy="628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Ted</a:t>
          </a:r>
          <a:r>
            <a:rPr lang="en-US" sz="1100" baseline="0"/>
            <a:t> Wells' leak that the above three (11.45,11.35, 11.75) were made with two different gauges means they used ref's two gauges (not the Patriots gauge) and happened later than the Wells Report implied</a:t>
          </a:r>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66675</xdr:colOff>
      <xdr:row>13</xdr:row>
      <xdr:rowOff>6350</xdr:rowOff>
    </xdr:from>
    <xdr:to>
      <xdr:col>4</xdr:col>
      <xdr:colOff>1749425</xdr:colOff>
      <xdr:row>22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30</xdr:row>
      <xdr:rowOff>12700</xdr:rowOff>
    </xdr:from>
    <xdr:to>
      <xdr:col>4</xdr:col>
      <xdr:colOff>701675</xdr:colOff>
      <xdr:row>40</xdr:row>
      <xdr:rowOff>177800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4</xdr:col>
      <xdr:colOff>139700</xdr:colOff>
      <xdr:row>51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107950</xdr:colOff>
      <xdr:row>54</xdr:row>
      <xdr:rowOff>101600</xdr:rowOff>
    </xdr:from>
    <xdr:to>
      <xdr:col>4</xdr:col>
      <xdr:colOff>482600</xdr:colOff>
      <xdr:row>63</xdr:row>
      <xdr:rowOff>82550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ngineeringtoolbox.com/air-altitude-pressure-d_462.html" TargetMode="External"/><Relationship Id="rId2" Type="http://schemas.openxmlformats.org/officeDocument/2006/relationships/hyperlink" Target="http://elevationmap.net/1-patriot-pl-foxborough-ma-02035-usa?latlngs=(42.0909458,-71.26434649999999)" TargetMode="External"/><Relationship Id="rId1" Type="http://schemas.openxmlformats.org/officeDocument/2006/relationships/hyperlink" Target="https://www.wunderground.com/history/airport/KOWD/2015/1/18/DailyHistory.html%20(7:53pm)%20(10%20miles%20from%20stadium)" TargetMode="External"/><Relationship Id="rId5" Type="http://schemas.openxmlformats.org/officeDocument/2006/relationships/printerSettings" Target="../printerSettings/printerSettings2.bin"/><Relationship Id="rId4" Type="http://schemas.openxmlformats.org/officeDocument/2006/relationships/hyperlink" Target="https://www.wunderground.com/history/airport/KOWD/2015/1/18/DailyHistory.html%20(7:53pm)%20(10%20miles%20from%20stadiu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ide.com/pages/air-pressure-at-altitude-calculator" TargetMode="External"/><Relationship Id="rId1" Type="http://schemas.openxmlformats.org/officeDocument/2006/relationships/hyperlink" Target="https://weatherspark.com/averages/31259/3/Phoenix-Arizona-United-Stat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statisticshowto.com/percentile-z-score/,%20enter%20z=7.9,%20read%20the%20%22single-tailed%22%20percent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I41" sqref="I41"/>
    </sheetView>
  </sheetViews>
  <sheetFormatPr defaultRowHeight="14.5" x14ac:dyDescent="0.35"/>
  <sheetData>
    <row r="1" spans="1:10" ht="21" x14ac:dyDescent="0.5">
      <c r="A1" s="191" t="s">
        <v>956</v>
      </c>
      <c r="I1" t="s">
        <v>1019</v>
      </c>
    </row>
    <row r="2" spans="1:10" x14ac:dyDescent="0.35">
      <c r="A2" s="6" t="s">
        <v>958</v>
      </c>
      <c r="B2" s="6" t="s">
        <v>959</v>
      </c>
      <c r="D2" t="s">
        <v>962</v>
      </c>
    </row>
    <row r="3" spans="1:10" x14ac:dyDescent="0.35">
      <c r="B3" s="6" t="s">
        <v>968</v>
      </c>
    </row>
    <row r="4" spans="1:10" x14ac:dyDescent="0.35">
      <c r="A4" s="13" t="s">
        <v>927</v>
      </c>
      <c r="B4" t="s">
        <v>926</v>
      </c>
    </row>
    <row r="5" spans="1:10" x14ac:dyDescent="0.35">
      <c r="A5" s="13" t="s">
        <v>927</v>
      </c>
      <c r="B5" t="s">
        <v>957</v>
      </c>
    </row>
    <row r="6" spans="1:10" x14ac:dyDescent="0.35">
      <c r="A6" s="13" t="s">
        <v>927</v>
      </c>
      <c r="B6" t="s">
        <v>954</v>
      </c>
    </row>
    <row r="7" spans="1:10" x14ac:dyDescent="0.35">
      <c r="A7" s="13" t="s">
        <v>927</v>
      </c>
      <c r="B7" t="s">
        <v>928</v>
      </c>
    </row>
    <row r="8" spans="1:10" x14ac:dyDescent="0.35">
      <c r="A8" s="13" t="s">
        <v>927</v>
      </c>
      <c r="B8" t="s">
        <v>955</v>
      </c>
    </row>
    <row r="9" spans="1:10" ht="14" customHeight="1" x14ac:dyDescent="0.35">
      <c r="A9" s="13"/>
      <c r="B9" s="6" t="s">
        <v>969</v>
      </c>
    </row>
    <row r="10" spans="1:10" x14ac:dyDescent="0.35">
      <c r="A10" s="13" t="s">
        <v>927</v>
      </c>
      <c r="B10" t="s">
        <v>986</v>
      </c>
    </row>
    <row r="11" spans="1:10" x14ac:dyDescent="0.35">
      <c r="A11" s="13" t="s">
        <v>927</v>
      </c>
      <c r="B11" t="s">
        <v>960</v>
      </c>
    </row>
    <row r="12" spans="1:10" x14ac:dyDescent="0.35">
      <c r="A12" t="s">
        <v>980</v>
      </c>
      <c r="B12" t="s">
        <v>979</v>
      </c>
      <c r="F12" s="13" t="s">
        <v>976</v>
      </c>
      <c r="G12" s="13" t="s">
        <v>977</v>
      </c>
      <c r="H12" s="13" t="s">
        <v>978</v>
      </c>
      <c r="I12" s="13" t="s">
        <v>100</v>
      </c>
      <c r="J12" s="13" t="s">
        <v>99</v>
      </c>
    </row>
    <row r="13" spans="1:10" x14ac:dyDescent="0.35">
      <c r="A13" s="13" t="s">
        <v>927</v>
      </c>
      <c r="B13" t="s">
        <v>985</v>
      </c>
      <c r="F13" s="13"/>
      <c r="G13" s="13"/>
      <c r="H13" s="13"/>
      <c r="I13" s="13"/>
      <c r="J13" s="13"/>
    </row>
    <row r="14" spans="1:10" x14ac:dyDescent="0.35">
      <c r="A14" s="13" t="s">
        <v>927</v>
      </c>
      <c r="B14" t="s">
        <v>981</v>
      </c>
    </row>
    <row r="15" spans="1:10" x14ac:dyDescent="0.35">
      <c r="A15" s="13"/>
    </row>
    <row r="16" spans="1:10" x14ac:dyDescent="0.35">
      <c r="A16" s="13"/>
      <c r="B16" t="s">
        <v>965</v>
      </c>
    </row>
    <row r="17" spans="1:2" x14ac:dyDescent="0.35">
      <c r="A17" s="13" t="s">
        <v>927</v>
      </c>
      <c r="B17" t="s">
        <v>964</v>
      </c>
    </row>
    <row r="18" spans="1:2" x14ac:dyDescent="0.35">
      <c r="A18" s="13" t="s">
        <v>927</v>
      </c>
      <c r="B18" t="s">
        <v>966</v>
      </c>
    </row>
    <row r="19" spans="1:2" x14ac:dyDescent="0.35">
      <c r="A19" s="13" t="s">
        <v>927</v>
      </c>
      <c r="B19" t="s">
        <v>1017</v>
      </c>
    </row>
    <row r="20" spans="1:2" x14ac:dyDescent="0.35">
      <c r="A20" s="13" t="s">
        <v>927</v>
      </c>
      <c r="B20" t="s">
        <v>1018</v>
      </c>
    </row>
    <row r="22" spans="1:2" x14ac:dyDescent="0.35">
      <c r="A22" s="13" t="s">
        <v>927</v>
      </c>
      <c r="B22" t="s">
        <v>995</v>
      </c>
    </row>
    <row r="23" spans="1:2" x14ac:dyDescent="0.35">
      <c r="A23" s="13" t="s">
        <v>927</v>
      </c>
      <c r="B23" t="s">
        <v>990</v>
      </c>
    </row>
    <row r="24" spans="1:2" x14ac:dyDescent="0.35">
      <c r="A24" s="13"/>
    </row>
    <row r="25" spans="1:2" x14ac:dyDescent="0.35">
      <c r="A25" t="s">
        <v>967</v>
      </c>
    </row>
    <row r="26" spans="1:2" x14ac:dyDescent="0.35">
      <c r="A26" s="13" t="s">
        <v>927</v>
      </c>
      <c r="B26" t="s">
        <v>963</v>
      </c>
    </row>
    <row r="27" spans="1:2" x14ac:dyDescent="0.35">
      <c r="A27" s="13" t="s">
        <v>927</v>
      </c>
      <c r="B27" t="s">
        <v>1010</v>
      </c>
    </row>
    <row r="28" spans="1:2" x14ac:dyDescent="0.35">
      <c r="A28" s="13" t="s">
        <v>927</v>
      </c>
      <c r="B28" t="s">
        <v>1020</v>
      </c>
    </row>
  </sheetData>
  <hyperlinks>
    <hyperlink ref="A4" location="Bookmark_Temperature_weather_data" display="Go to"/>
    <hyperlink ref="A7" location="Bookmark_Adjust_psi_1_degree_F" display="Go to"/>
    <hyperlink ref="A10" location="Bookmark_psi_drop_rate_humid_leather" display="Go to"/>
    <hyperlink ref="A5" location="bookmark_gas_law_basic_inputs" display="Go to"/>
    <hyperlink ref="A6" location="boomark_gas_law_in_different_scenarios" display="Go to"/>
    <hyperlink ref="A8" location="bookmark_leather_stretch_tests" display="Go to"/>
    <hyperlink ref="A11" location="bookmark_halftime_timing" display="Go to"/>
    <hyperlink ref="A26" location="bookmark_intercepted_ball_not_deflated" display="Go to"/>
    <hyperlink ref="A17" location="bookmark_lowest_ball_analysis" display="Go to"/>
    <hyperlink ref="F12" location="bookmark_Crv_Basic" display="Basic info"/>
    <hyperlink ref="H12" location="bk_Crv_P_dry" display="Pats. dry"/>
    <hyperlink ref="I12" location="bk_crv_C_wet" display="Colts wet"/>
    <hyperlink ref="J12" location="bk_Crv_C_dry" display="Colts dry"/>
    <hyperlink ref="G12" location="bk_Crv_P_wet" display="Pats. wet"/>
    <hyperlink ref="A14" location="bk_out_then_in" display="Go to"/>
    <hyperlink ref="A13" location="bookmark_bag_impact" display="Go to"/>
    <hyperlink ref="A18" location="bk_each_ball_and_theory" display="Go to"/>
    <hyperlink ref="A23" location="bk_timeline_intercepted" display="Go to"/>
    <hyperlink ref="A19" location="bk_graph_pats" display="Go to"/>
    <hyperlink ref="A22" location="'split personality'!A1" display="Go to"/>
    <hyperlink ref="A27" location="bk_rise_4_8" display="Go to"/>
    <hyperlink ref="A20" location="bk_graph_colts" display="Go to"/>
    <hyperlink ref="A28" location="simpleLow!A1" display="Go to"/>
  </hyperlink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C30" workbookViewId="0">
      <selection activeCell="K29" sqref="K29"/>
    </sheetView>
  </sheetViews>
  <sheetFormatPr defaultRowHeight="14.5" x14ac:dyDescent="0.35"/>
  <cols>
    <col min="1" max="1" width="8.26953125" customWidth="1"/>
    <col min="2" max="2" width="37.81640625" customWidth="1"/>
    <col min="4" max="4" width="8.6328125" customWidth="1"/>
    <col min="5" max="5" width="10.08984375" customWidth="1"/>
    <col min="9" max="9" width="21.08984375" bestFit="1" customWidth="1"/>
    <col min="13" max="13" width="20" bestFit="1" customWidth="1"/>
  </cols>
  <sheetData>
    <row r="1" spans="1:13" ht="18.5" x14ac:dyDescent="0.45">
      <c r="B1" s="171" t="s">
        <v>970</v>
      </c>
    </row>
    <row r="3" spans="1:13" ht="15.5" x14ac:dyDescent="0.35">
      <c r="A3" s="192" t="s">
        <v>961</v>
      </c>
      <c r="B3" s="193" t="s">
        <v>971</v>
      </c>
      <c r="C3" t="s">
        <v>68</v>
      </c>
      <c r="D3" t="s">
        <v>68</v>
      </c>
      <c r="E3" t="s">
        <v>71</v>
      </c>
      <c r="F3" t="s">
        <v>71</v>
      </c>
    </row>
    <row r="4" spans="1:13" x14ac:dyDescent="0.35">
      <c r="C4" t="s">
        <v>91</v>
      </c>
      <c r="D4" t="s">
        <v>92</v>
      </c>
      <c r="E4" t="s">
        <v>102</v>
      </c>
      <c r="F4" t="s">
        <v>92</v>
      </c>
    </row>
    <row r="5" spans="1:13" x14ac:dyDescent="0.35">
      <c r="A5" t="str">
        <f>+"Crv_"&amp;alph!A9</f>
        <v>Crv_H</v>
      </c>
      <c r="B5" t="s">
        <v>151</v>
      </c>
      <c r="C5" s="24">
        <v>69</v>
      </c>
      <c r="D5" s="24">
        <f>+C5</f>
        <v>69</v>
      </c>
      <c r="E5" s="24">
        <f t="shared" ref="E5:F5" si="0">+D5</f>
        <v>69</v>
      </c>
      <c r="F5" s="24">
        <f t="shared" si="0"/>
        <v>69</v>
      </c>
      <c r="G5" t="s">
        <v>121</v>
      </c>
      <c r="H5" t="s">
        <v>169</v>
      </c>
    </row>
    <row r="6" spans="1:13" x14ac:dyDescent="0.35">
      <c r="A6" t="str">
        <f>+"Crv_"&amp;alph!A10</f>
        <v>Crv_I</v>
      </c>
      <c r="B6" t="s">
        <v>164</v>
      </c>
      <c r="C6" s="24">
        <v>12.48</v>
      </c>
      <c r="D6" s="24">
        <f>+C6</f>
        <v>12.48</v>
      </c>
      <c r="E6" s="24">
        <f>13-(4)/22*0.1</f>
        <v>12.981818181818182</v>
      </c>
      <c r="F6" s="24">
        <f>+E6</f>
        <v>12.981818181818182</v>
      </c>
      <c r="G6" t="s">
        <v>149</v>
      </c>
      <c r="H6" t="s">
        <v>152</v>
      </c>
    </row>
    <row r="7" spans="1:13" x14ac:dyDescent="0.35">
      <c r="A7" t="str">
        <f>+"Crv_"&amp;alph!A11</f>
        <v>Crv_J</v>
      </c>
      <c r="B7" t="s">
        <v>165</v>
      </c>
      <c r="C7">
        <v>72.5</v>
      </c>
      <c r="D7">
        <f>+C7</f>
        <v>72.5</v>
      </c>
      <c r="E7">
        <f t="shared" ref="E7:F7" si="1">+D7</f>
        <v>72.5</v>
      </c>
      <c r="F7">
        <f t="shared" si="1"/>
        <v>72.5</v>
      </c>
      <c r="G7" t="s">
        <v>121</v>
      </c>
      <c r="H7" t="s">
        <v>168</v>
      </c>
    </row>
    <row r="8" spans="1:13" ht="29" x14ac:dyDescent="0.35">
      <c r="A8" t="str">
        <f>+"Crv_"&amp;alph!A12</f>
        <v>Crv_K</v>
      </c>
      <c r="B8" s="168" t="s">
        <v>438</v>
      </c>
      <c r="C8" s="24">
        <f>+gas!L29</f>
        <v>12.656190926275995</v>
      </c>
      <c r="D8" s="24">
        <f>+C8</f>
        <v>12.656190926275995</v>
      </c>
      <c r="E8" s="24">
        <f>+gas!M29</f>
        <v>13.15949905482042</v>
      </c>
      <c r="F8" s="24">
        <f>+E8</f>
        <v>13.15949905482042</v>
      </c>
      <c r="G8" t="s">
        <v>149</v>
      </c>
      <c r="H8" t="s">
        <v>419</v>
      </c>
      <c r="K8" t="s">
        <v>68</v>
      </c>
      <c r="L8" t="s">
        <v>71</v>
      </c>
    </row>
    <row r="9" spans="1:13" x14ac:dyDescent="0.35">
      <c r="A9" t="str">
        <f>+"Crv_"&amp;alph!A13</f>
        <v>Crv_L</v>
      </c>
      <c r="B9" t="s">
        <v>160</v>
      </c>
      <c r="C9">
        <v>11.27</v>
      </c>
      <c r="D9" s="24">
        <f>11.3+(17)/28*0.1</f>
        <v>11.360714285714286</v>
      </c>
      <c r="E9" s="25">
        <f>+gas!F35</f>
        <v>11.762962962962964</v>
      </c>
      <c r="F9" s="24">
        <f>+gas!F34</f>
        <v>11.866666666666667</v>
      </c>
      <c r="G9" t="s">
        <v>149</v>
      </c>
      <c r="H9" t="s">
        <v>303</v>
      </c>
      <c r="J9" t="s">
        <v>1016</v>
      </c>
      <c r="K9" s="24">
        <f>+D9-C9</f>
        <v>9.0714285714286191E-2</v>
      </c>
      <c r="L9" s="24">
        <f>+F9-E9</f>
        <v>0.10370370370370274</v>
      </c>
    </row>
    <row r="10" spans="1:13" x14ac:dyDescent="0.35">
      <c r="A10" t="str">
        <f>+"Crv_"&amp;alph!A14</f>
        <v>Crv_M</v>
      </c>
      <c r="B10" t="s">
        <v>170</v>
      </c>
      <c r="C10" s="24">
        <f>+C8-C9</f>
        <v>1.3861909262759955</v>
      </c>
      <c r="D10" s="24">
        <f>+D8-D9</f>
        <v>1.2954766405617093</v>
      </c>
      <c r="E10" s="24">
        <f t="shared" ref="E10:F10" si="2">+E8-E9</f>
        <v>1.3965360918574561</v>
      </c>
      <c r="F10" s="24">
        <f t="shared" si="2"/>
        <v>1.2928323881537533</v>
      </c>
      <c r="G10" t="s">
        <v>149</v>
      </c>
      <c r="H10" s="24" t="str">
        <f>+TEXT(A8,0)&amp;"-"&amp;TEXT(A9,0)</f>
        <v>Crv_K-Crv_L</v>
      </c>
    </row>
    <row r="11" spans="1:13" x14ac:dyDescent="0.35">
      <c r="A11" t="str">
        <f>+"Crv_"&amp;alph!A15</f>
        <v>Crv_N</v>
      </c>
      <c r="B11" t="s">
        <v>829</v>
      </c>
      <c r="C11" s="24">
        <f>+C6-C9</f>
        <v>1.2100000000000009</v>
      </c>
      <c r="D11" s="24">
        <f>+D6-D9</f>
        <v>1.1192857142857147</v>
      </c>
      <c r="G11" t="s">
        <v>149</v>
      </c>
      <c r="H11" s="24" t="str">
        <f>+TEXT(A8,0)&amp;"-"&amp;TEXT(A9,0)</f>
        <v>Crv_K-Crv_L</v>
      </c>
    </row>
    <row r="12" spans="1:13" x14ac:dyDescent="0.35">
      <c r="F12" t="s">
        <v>172</v>
      </c>
      <c r="I12" s="24"/>
    </row>
    <row r="13" spans="1:13" ht="18.5" x14ac:dyDescent="0.45">
      <c r="A13" s="192" t="s">
        <v>961</v>
      </c>
      <c r="B13" s="185" t="s">
        <v>972</v>
      </c>
      <c r="F13" s="6" t="s">
        <v>300</v>
      </c>
      <c r="H13" t="s">
        <v>302</v>
      </c>
      <c r="I13" s="24"/>
      <c r="M13" t="s">
        <v>724</v>
      </c>
    </row>
    <row r="14" spans="1:13" s="4" customFormat="1" ht="101.5" x14ac:dyDescent="0.35">
      <c r="F14" s="30" t="s">
        <v>171</v>
      </c>
      <c r="G14" s="30" t="s">
        <v>906</v>
      </c>
      <c r="H14" s="4" t="s">
        <v>177</v>
      </c>
      <c r="I14" s="31" t="s">
        <v>179</v>
      </c>
      <c r="J14" s="30" t="s">
        <v>175</v>
      </c>
      <c r="K14" s="31" t="s">
        <v>174</v>
      </c>
      <c r="L14" s="30" t="s">
        <v>176</v>
      </c>
      <c r="M14" s="4" t="str">
        <f>+F14</f>
        <v>Time (minutes)</v>
      </c>
    </row>
    <row r="15" spans="1:13" x14ac:dyDescent="0.35">
      <c r="F15">
        <v>0</v>
      </c>
      <c r="G15">
        <v>0</v>
      </c>
      <c r="H15" s="8">
        <f t="shared" ref="H15:H22" si="3">+L16/(F16-F15)</f>
        <v>5.7712107678357119E-2</v>
      </c>
      <c r="I15" s="25">
        <f>+C9</f>
        <v>11.27</v>
      </c>
      <c r="J15" t="s">
        <v>173</v>
      </c>
      <c r="K15" t="s">
        <v>173</v>
      </c>
      <c r="M15" s="78">
        <f t="shared" ref="M15:M22" si="4">+F15</f>
        <v>0</v>
      </c>
    </row>
    <row r="16" spans="1:13" x14ac:dyDescent="0.35">
      <c r="F16">
        <v>0.5</v>
      </c>
      <c r="G16" s="1">
        <f t="shared" ref="G16:G21" si="5">+J16/$C$10</f>
        <v>2.885605383917856E-2</v>
      </c>
      <c r="H16" s="8">
        <f t="shared" si="3"/>
        <v>0.10099618843712252</v>
      </c>
      <c r="I16" s="25">
        <v>11.31</v>
      </c>
      <c r="J16" s="24">
        <f t="shared" ref="J16:J22" si="6">+I16-$I$15</f>
        <v>4.0000000000000924E-2</v>
      </c>
      <c r="K16" s="24">
        <f t="shared" ref="K16:K22" si="7">+I16-I15</f>
        <v>4.0000000000000924E-2</v>
      </c>
      <c r="L16" s="1">
        <f>+G16-G15</f>
        <v>2.885605383917856E-2</v>
      </c>
      <c r="M16" s="78">
        <f t="shared" si="4"/>
        <v>0.5</v>
      </c>
    </row>
    <row r="17" spans="1:13" x14ac:dyDescent="0.35">
      <c r="A17" t="str">
        <f>+alph!A16</f>
        <v>O</v>
      </c>
      <c r="F17">
        <v>3</v>
      </c>
      <c r="G17" s="1">
        <f t="shared" si="5"/>
        <v>0.28134652493198486</v>
      </c>
      <c r="H17" s="8">
        <f t="shared" si="3"/>
        <v>6.4926121138150161E-2</v>
      </c>
      <c r="I17" s="25">
        <v>11.66</v>
      </c>
      <c r="J17" s="24">
        <f t="shared" si="6"/>
        <v>0.39000000000000057</v>
      </c>
      <c r="K17" s="24">
        <f t="shared" si="7"/>
        <v>0.34999999999999964</v>
      </c>
      <c r="L17" s="1">
        <f t="shared" ref="L17:L22" si="8">+G17-G16</f>
        <v>0.25249047109280631</v>
      </c>
      <c r="M17" s="78">
        <f t="shared" si="4"/>
        <v>3</v>
      </c>
    </row>
    <row r="18" spans="1:13" x14ac:dyDescent="0.35">
      <c r="F18">
        <v>6</v>
      </c>
      <c r="G18" s="1">
        <f t="shared" si="5"/>
        <v>0.47612488834643535</v>
      </c>
      <c r="H18" s="8">
        <f t="shared" si="3"/>
        <v>3.8474738452237235E-2</v>
      </c>
      <c r="I18" s="25">
        <v>11.93</v>
      </c>
      <c r="J18" s="24">
        <f t="shared" si="6"/>
        <v>0.66000000000000014</v>
      </c>
      <c r="K18" s="24">
        <f t="shared" si="7"/>
        <v>0.26999999999999957</v>
      </c>
      <c r="L18" s="1">
        <f t="shared" si="8"/>
        <v>0.19477836341445048</v>
      </c>
      <c r="M18" s="78">
        <f t="shared" si="4"/>
        <v>6</v>
      </c>
    </row>
    <row r="19" spans="1:13" x14ac:dyDescent="0.35">
      <c r="A19" t="str">
        <f>+alph!A17</f>
        <v>P</v>
      </c>
      <c r="F19">
        <v>9</v>
      </c>
      <c r="G19" s="1">
        <f t="shared" si="5"/>
        <v>0.59154910370314706</v>
      </c>
      <c r="H19" s="8">
        <f t="shared" si="3"/>
        <v>2.0199237687424414E-2</v>
      </c>
      <c r="I19" s="25">
        <v>12.09</v>
      </c>
      <c r="J19" s="24">
        <f t="shared" si="6"/>
        <v>0.82000000000000028</v>
      </c>
      <c r="K19" s="24">
        <f t="shared" si="7"/>
        <v>0.16000000000000014</v>
      </c>
      <c r="L19" s="1">
        <f t="shared" si="8"/>
        <v>0.11542421535671171</v>
      </c>
      <c r="M19" s="78">
        <f t="shared" si="4"/>
        <v>9</v>
      </c>
    </row>
    <row r="20" spans="1:13" x14ac:dyDescent="0.35">
      <c r="C20" s="8"/>
      <c r="F20">
        <v>12</v>
      </c>
      <c r="G20" s="1">
        <f t="shared" si="5"/>
        <v>0.6521468167654203</v>
      </c>
      <c r="H20" s="8">
        <f t="shared" si="3"/>
        <v>6.5407055368803761E-3</v>
      </c>
      <c r="I20" s="25">
        <v>12.173999999999999</v>
      </c>
      <c r="J20" s="24">
        <f t="shared" si="6"/>
        <v>0.90399999999999991</v>
      </c>
      <c r="K20" s="24">
        <f t="shared" si="7"/>
        <v>8.3999999999999631E-2</v>
      </c>
      <c r="L20" s="1">
        <f t="shared" si="8"/>
        <v>6.059771306227324E-2</v>
      </c>
      <c r="M20" s="78">
        <f t="shared" si="4"/>
        <v>12</v>
      </c>
    </row>
    <row r="21" spans="1:13" x14ac:dyDescent="0.35">
      <c r="A21" t="str">
        <f>+alph!A18</f>
        <v>Q</v>
      </c>
      <c r="F21">
        <v>27</v>
      </c>
      <c r="G21" s="1">
        <f t="shared" si="5"/>
        <v>0.75025739981862594</v>
      </c>
      <c r="H21" s="8">
        <f t="shared" si="3"/>
        <v>2.0304276437510087E-3</v>
      </c>
      <c r="I21" s="25">
        <v>12.31</v>
      </c>
      <c r="J21" s="24">
        <f t="shared" si="6"/>
        <v>1.0400000000000009</v>
      </c>
      <c r="K21" s="24">
        <f t="shared" si="7"/>
        <v>0.13600000000000101</v>
      </c>
      <c r="L21" s="1">
        <f t="shared" si="8"/>
        <v>9.8110583053205636E-2</v>
      </c>
      <c r="M21" s="78">
        <f t="shared" si="4"/>
        <v>27</v>
      </c>
    </row>
    <row r="22" spans="1:13" x14ac:dyDescent="0.35">
      <c r="A22" t="str">
        <f>+alph!A20</f>
        <v>S</v>
      </c>
      <c r="F22">
        <v>150</v>
      </c>
      <c r="G22" s="26">
        <v>1</v>
      </c>
      <c r="H22" s="8">
        <f t="shared" si="3"/>
        <v>0</v>
      </c>
      <c r="I22" s="24">
        <f>+C8</f>
        <v>12.656190926275995</v>
      </c>
      <c r="J22" s="24">
        <f t="shared" si="6"/>
        <v>1.3861909262759955</v>
      </c>
      <c r="K22" s="24">
        <f t="shared" si="7"/>
        <v>0.34619092627599457</v>
      </c>
      <c r="L22" s="1">
        <f t="shared" si="8"/>
        <v>0.24974260018137406</v>
      </c>
      <c r="M22" s="78">
        <f t="shared" si="4"/>
        <v>150</v>
      </c>
    </row>
    <row r="23" spans="1:13" x14ac:dyDescent="0.35">
      <c r="A23" t="str">
        <f>+alph!A21</f>
        <v>T</v>
      </c>
    </row>
    <row r="24" spans="1:13" x14ac:dyDescent="0.35">
      <c r="C24" s="8"/>
      <c r="E24" s="192" t="s">
        <v>961</v>
      </c>
      <c r="F24" s="6" t="s">
        <v>1004</v>
      </c>
    </row>
    <row r="25" spans="1:13" x14ac:dyDescent="0.35">
      <c r="C25" s="8"/>
      <c r="E25" t="s">
        <v>1005</v>
      </c>
      <c r="F25" t="s">
        <v>1006</v>
      </c>
      <c r="G25" t="s">
        <v>1007</v>
      </c>
      <c r="I25" t="s">
        <v>1008</v>
      </c>
      <c r="J25" t="s">
        <v>149</v>
      </c>
      <c r="K25" t="s">
        <v>1014</v>
      </c>
    </row>
    <row r="26" spans="1:13" x14ac:dyDescent="0.35">
      <c r="E26">
        <v>4</v>
      </c>
      <c r="F26">
        <v>3</v>
      </c>
      <c r="G26" s="26">
        <f>+G17</f>
        <v>0.28134652493198486</v>
      </c>
      <c r="H26" s="194">
        <f>+H17</f>
        <v>6.4926121138150161E-2</v>
      </c>
      <c r="I26" s="1">
        <f>+G26+H26*(E26-F26)</f>
        <v>0.34627264607013503</v>
      </c>
      <c r="J26" s="24">
        <f>+J27-J28</f>
        <v>11.133333333333333</v>
      </c>
      <c r="K26">
        <f>+J26*1.05-0.2836</f>
        <v>11.4064</v>
      </c>
      <c r="L26" t="s">
        <v>1012</v>
      </c>
    </row>
    <row r="27" spans="1:13" x14ac:dyDescent="0.35">
      <c r="D27" s="195" t="s">
        <v>1013</v>
      </c>
      <c r="E27">
        <v>8</v>
      </c>
      <c r="F27">
        <v>6</v>
      </c>
      <c r="G27" s="26">
        <f>+G18</f>
        <v>0.47612488834643535</v>
      </c>
      <c r="H27" s="194">
        <f>+H18</f>
        <v>3.8474738452237235E-2</v>
      </c>
      <c r="I27" s="1">
        <f>+G27+H27*(E27-F27)</f>
        <v>0.55307436525090981</v>
      </c>
      <c r="J27">
        <v>11.42</v>
      </c>
      <c r="K27">
        <f>+J27*1.05-0.2836</f>
        <v>11.7074</v>
      </c>
      <c r="L27" t="s">
        <v>1015</v>
      </c>
    </row>
    <row r="28" spans="1:13" x14ac:dyDescent="0.35">
      <c r="E28" t="s">
        <v>1009</v>
      </c>
      <c r="I28" s="26">
        <f>+I27-I26</f>
        <v>0.20680171918077478</v>
      </c>
      <c r="J28" s="24">
        <f>+I28*J22</f>
        <v>0.28666666666666651</v>
      </c>
      <c r="K28" t="s">
        <v>1048</v>
      </c>
    </row>
    <row r="29" spans="1:13" x14ac:dyDescent="0.35">
      <c r="F29" s="24"/>
    </row>
    <row r="30" spans="1:13" ht="18.5" x14ac:dyDescent="0.45">
      <c r="A30" s="192" t="s">
        <v>961</v>
      </c>
      <c r="B30" s="185" t="s">
        <v>973</v>
      </c>
    </row>
    <row r="32" spans="1:13" x14ac:dyDescent="0.35">
      <c r="F32" s="6" t="s">
        <v>301</v>
      </c>
    </row>
    <row r="33" spans="1:15" ht="101.5" x14ac:dyDescent="0.35">
      <c r="F33" s="30" t="s">
        <v>171</v>
      </c>
      <c r="G33" s="30" t="s">
        <v>178</v>
      </c>
      <c r="H33" s="4" t="s">
        <v>177</v>
      </c>
      <c r="I33" s="31" t="s">
        <v>179</v>
      </c>
      <c r="J33" s="30" t="s">
        <v>175</v>
      </c>
      <c r="K33" s="31" t="s">
        <v>174</v>
      </c>
      <c r="L33" s="30" t="s">
        <v>176</v>
      </c>
      <c r="M33" t="s">
        <v>723</v>
      </c>
    </row>
    <row r="34" spans="1:15" x14ac:dyDescent="0.35">
      <c r="C34" s="1"/>
      <c r="F34" s="30">
        <f>+F15</f>
        <v>0</v>
      </c>
      <c r="G34" s="30">
        <f>+G15</f>
        <v>0</v>
      </c>
      <c r="H34" s="8">
        <f t="shared" ref="H34:H41" si="9">+L35/(F35-F34)</f>
        <v>6.7471233884625531E-2</v>
      </c>
      <c r="I34" s="30">
        <v>11.36</v>
      </c>
      <c r="J34" s="30" t="str">
        <f>+J15</f>
        <v>N/A</v>
      </c>
      <c r="K34" s="30" t="str">
        <f>+K15</f>
        <v>N/A</v>
      </c>
      <c r="L34" s="30">
        <f>+L15</f>
        <v>0</v>
      </c>
      <c r="M34">
        <f>+F34</f>
        <v>0</v>
      </c>
    </row>
    <row r="35" spans="1:15" x14ac:dyDescent="0.35">
      <c r="C35" s="1"/>
      <c r="F35" s="30">
        <v>0.5</v>
      </c>
      <c r="G35" s="1">
        <f>+J35/$D$10</f>
        <v>3.3735616942312766E-2</v>
      </c>
      <c r="H35" s="8">
        <f t="shared" si="9"/>
        <v>0.12236308518059147</v>
      </c>
      <c r="I35" s="30">
        <f>11.4+(1)/27*0.1</f>
        <v>11.403703703703703</v>
      </c>
      <c r="J35" s="24">
        <f>+I35-$I$34</f>
        <v>4.3703703703704022E-2</v>
      </c>
      <c r="K35" s="24">
        <f t="shared" ref="K35:K36" si="10">+I35-I34</f>
        <v>4.3703703703704022E-2</v>
      </c>
      <c r="L35" s="1">
        <f t="shared" ref="L35:L36" si="11">+G35-G34</f>
        <v>3.3735616942312766E-2</v>
      </c>
      <c r="M35">
        <f t="shared" ref="M35:M41" si="12">+F35</f>
        <v>0.5</v>
      </c>
      <c r="N35" s="24"/>
      <c r="O35" s="24"/>
    </row>
    <row r="36" spans="1:15" x14ac:dyDescent="0.35">
      <c r="F36" s="30">
        <v>3</v>
      </c>
      <c r="G36" s="1">
        <f>+J36/$D$10</f>
        <v>0.33964332989379142</v>
      </c>
      <c r="H36" s="8">
        <f t="shared" si="9"/>
        <v>8.7483888002945973E-2</v>
      </c>
      <c r="I36" s="31">
        <v>11.8</v>
      </c>
      <c r="J36" s="24">
        <f>+I36-$I$34</f>
        <v>0.44000000000000128</v>
      </c>
      <c r="K36" s="24">
        <f t="shared" si="10"/>
        <v>0.39629629629629726</v>
      </c>
      <c r="L36" s="1">
        <f t="shared" si="11"/>
        <v>0.30590771295147867</v>
      </c>
      <c r="M36">
        <f t="shared" si="12"/>
        <v>3</v>
      </c>
    </row>
    <row r="37" spans="1:15" x14ac:dyDescent="0.35">
      <c r="F37" s="30">
        <v>6</v>
      </c>
      <c r="G37" s="1">
        <f t="shared" ref="G37:G41" si="13">+J37/$D$10</f>
        <v>0.60209499390262933</v>
      </c>
      <c r="H37" s="8">
        <f t="shared" si="9"/>
        <v>4.6314999530971367E-2</v>
      </c>
      <c r="I37" s="31">
        <v>12.14</v>
      </c>
      <c r="J37" s="24">
        <f t="shared" ref="J37:J41" si="14">+I37-$I$34</f>
        <v>0.78000000000000114</v>
      </c>
      <c r="K37" s="24">
        <f t="shared" ref="K37:K41" si="15">+I37-I36</f>
        <v>0.33999999999999986</v>
      </c>
      <c r="L37" s="1">
        <f t="shared" ref="L37:L41" si="16">+G37-G36</f>
        <v>0.2624516640088379</v>
      </c>
      <c r="M37">
        <f t="shared" si="12"/>
        <v>6</v>
      </c>
    </row>
    <row r="38" spans="1:15" x14ac:dyDescent="0.35">
      <c r="C38" s="8"/>
      <c r="F38" s="30">
        <v>9</v>
      </c>
      <c r="G38" s="1">
        <f t="shared" si="13"/>
        <v>0.74103999249554342</v>
      </c>
      <c r="H38" s="8">
        <f t="shared" si="9"/>
        <v>2.8303610824482368E-2</v>
      </c>
      <c r="I38" s="31">
        <v>12.32</v>
      </c>
      <c r="J38" s="24">
        <f t="shared" si="14"/>
        <v>0.96000000000000085</v>
      </c>
      <c r="K38" s="24">
        <f t="shared" si="15"/>
        <v>0.17999999999999972</v>
      </c>
      <c r="L38" s="1">
        <f t="shared" si="16"/>
        <v>0.13894499859291409</v>
      </c>
      <c r="M38">
        <f t="shared" si="12"/>
        <v>9</v>
      </c>
    </row>
    <row r="39" spans="1:15" x14ac:dyDescent="0.35">
      <c r="F39" s="30">
        <v>12</v>
      </c>
      <c r="G39" s="1">
        <f t="shared" si="13"/>
        <v>0.82595082496899053</v>
      </c>
      <c r="H39" s="8">
        <f t="shared" si="9"/>
        <v>1.0526136257039687E-3</v>
      </c>
      <c r="I39" s="31">
        <v>12.43</v>
      </c>
      <c r="J39" s="24">
        <f t="shared" si="14"/>
        <v>1.0700000000000003</v>
      </c>
      <c r="K39" s="24">
        <f t="shared" si="15"/>
        <v>0.10999999999999943</v>
      </c>
      <c r="L39" s="1">
        <f t="shared" si="16"/>
        <v>8.4910832473447106E-2</v>
      </c>
      <c r="M39">
        <f t="shared" si="12"/>
        <v>12</v>
      </c>
    </row>
    <row r="40" spans="1:15" x14ac:dyDescent="0.35">
      <c r="F40" s="30">
        <v>20</v>
      </c>
      <c r="G40" s="1">
        <f t="shared" si="13"/>
        <v>0.83437173397462228</v>
      </c>
      <c r="H40" s="8">
        <f t="shared" si="9"/>
        <v>2.0703533253172215E-3</v>
      </c>
      <c r="I40" s="31">
        <f>12.4+0.409090909090909*0.1</f>
        <v>12.440909090909091</v>
      </c>
      <c r="J40" s="24">
        <f t="shared" si="14"/>
        <v>1.0809090909090919</v>
      </c>
      <c r="K40" s="24">
        <f t="shared" si="15"/>
        <v>1.0909090909091645E-2</v>
      </c>
      <c r="L40" s="1">
        <f t="shared" si="16"/>
        <v>8.4209090056317493E-3</v>
      </c>
      <c r="M40">
        <f t="shared" si="12"/>
        <v>20</v>
      </c>
    </row>
    <row r="41" spans="1:15" x14ac:dyDescent="0.35">
      <c r="C41" s="8"/>
      <c r="F41" s="30">
        <v>100</v>
      </c>
      <c r="G41" s="1">
        <f t="shared" si="13"/>
        <v>1</v>
      </c>
      <c r="H41" s="8">
        <f t="shared" si="9"/>
        <v>0</v>
      </c>
      <c r="I41" s="31">
        <f>+I34+$D$10</f>
        <v>12.655476640561709</v>
      </c>
      <c r="J41" s="24">
        <f t="shared" si="14"/>
        <v>1.2954766405617093</v>
      </c>
      <c r="K41" s="24">
        <f t="shared" si="15"/>
        <v>0.21456754965261737</v>
      </c>
      <c r="L41" s="1">
        <f t="shared" si="16"/>
        <v>0.16562826602537772</v>
      </c>
      <c r="M41">
        <f t="shared" si="12"/>
        <v>100</v>
      </c>
    </row>
    <row r="44" spans="1:15" ht="18.5" x14ac:dyDescent="0.45">
      <c r="A44" s="192" t="s">
        <v>961</v>
      </c>
      <c r="B44" s="185" t="s">
        <v>974</v>
      </c>
      <c r="F44" s="6" t="s">
        <v>100</v>
      </c>
    </row>
    <row r="45" spans="1:15" ht="101.5" x14ac:dyDescent="0.35">
      <c r="F45" s="30" t="s">
        <v>171</v>
      </c>
      <c r="G45" s="30" t="s">
        <v>178</v>
      </c>
      <c r="H45" s="4" t="s">
        <v>177</v>
      </c>
      <c r="I45" s="31" t="s">
        <v>179</v>
      </c>
      <c r="J45" s="30" t="s">
        <v>175</v>
      </c>
      <c r="K45" s="31" t="s">
        <v>174</v>
      </c>
      <c r="L45" s="30" t="s">
        <v>176</v>
      </c>
      <c r="M45" t="s">
        <v>237</v>
      </c>
    </row>
    <row r="46" spans="1:15" ht="87" x14ac:dyDescent="0.35">
      <c r="F46" s="30">
        <v>0</v>
      </c>
      <c r="G46" s="1">
        <v>0</v>
      </c>
      <c r="H46" s="8">
        <f t="shared" ref="H46:H52" si="17">+L47/(F47-F46)</f>
        <v>9.1054212324746031E-2</v>
      </c>
      <c r="I46" s="30">
        <f>+E9</f>
        <v>11.762962962962964</v>
      </c>
      <c r="J46" s="30">
        <f>+J27</f>
        <v>11.42</v>
      </c>
      <c r="K46" s="30">
        <f>+K27</f>
        <v>11.7074</v>
      </c>
      <c r="L46" s="30" t="str">
        <f>+L27</f>
        <v>Note: Patriots gauge reads a bit higher</v>
      </c>
    </row>
    <row r="47" spans="1:15" x14ac:dyDescent="0.35">
      <c r="F47" s="30">
        <v>3</v>
      </c>
      <c r="G47" s="1">
        <f>+J47/$E$10</f>
        <v>0.27316263697423809</v>
      </c>
      <c r="H47" s="8">
        <f t="shared" si="17"/>
        <v>6.718563239495863E-2</v>
      </c>
      <c r="I47" s="31">
        <f>12.1+(12)/27*0.1</f>
        <v>12.144444444444444</v>
      </c>
      <c r="J47" s="24">
        <f>+I47-I$46</f>
        <v>0.38148148148147953</v>
      </c>
      <c r="K47" s="24">
        <f t="shared" ref="K47" si="18">+I47-I46</f>
        <v>0.38148148148147953</v>
      </c>
      <c r="L47" s="1">
        <f t="shared" ref="L47" si="19">+G47-G46</f>
        <v>0.27316263697423809</v>
      </c>
      <c r="M47" s="24">
        <f t="shared" ref="M47" si="20">+(1-G47)*$C$10</f>
        <v>1.0075353575046828</v>
      </c>
    </row>
    <row r="48" spans="1:15" x14ac:dyDescent="0.35">
      <c r="F48" s="30">
        <v>6</v>
      </c>
      <c r="G48" s="1">
        <f t="shared" ref="G48:G52" si="21">+J48/$E$10</f>
        <v>0.474719534159114</v>
      </c>
      <c r="H48" s="8">
        <f t="shared" si="17"/>
        <v>3.4476837676360207E-2</v>
      </c>
      <c r="I48" s="31">
        <f>12.4+(7)/27*0.1</f>
        <v>12.425925925925926</v>
      </c>
      <c r="J48" s="24">
        <f t="shared" ref="J48:J52" si="22">+I48-I$46</f>
        <v>0.6629629629629612</v>
      </c>
      <c r="K48" s="24">
        <f t="shared" ref="K48:K52" si="23">+I48-I47</f>
        <v>0.28148148148148167</v>
      </c>
      <c r="L48" s="1">
        <f t="shared" ref="L48:L52" si="24">+G48-G47</f>
        <v>0.20155689718487591</v>
      </c>
      <c r="M48" s="24">
        <f t="shared" ref="M48:M52" si="25">+(1-G48)*$C$10</f>
        <v>0.72813901549866422</v>
      </c>
    </row>
    <row r="49" spans="1:13" x14ac:dyDescent="0.35">
      <c r="F49" s="30">
        <v>9</v>
      </c>
      <c r="G49" s="1">
        <f t="shared" si="21"/>
        <v>0.57815004718819463</v>
      </c>
      <c r="H49" s="8">
        <f t="shared" si="17"/>
        <v>2.0332494014263847E-2</v>
      </c>
      <c r="I49" s="31">
        <f>12.6-(8)/27*0.1</f>
        <v>12.57037037037037</v>
      </c>
      <c r="J49" s="24">
        <f t="shared" si="22"/>
        <v>0.80740740740740513</v>
      </c>
      <c r="K49" s="24">
        <f t="shared" si="23"/>
        <v>0.14444444444444393</v>
      </c>
      <c r="L49" s="1">
        <f t="shared" si="24"/>
        <v>0.10343051302908063</v>
      </c>
      <c r="M49" s="24">
        <f t="shared" si="25"/>
        <v>0.58476457683768146</v>
      </c>
    </row>
    <row r="50" spans="1:13" x14ac:dyDescent="0.35">
      <c r="F50" s="30">
        <v>12</v>
      </c>
      <c r="G50" s="1">
        <f t="shared" si="21"/>
        <v>0.63914752923098617</v>
      </c>
      <c r="H50" s="8">
        <f t="shared" si="17"/>
        <v>1.7680429577621171E-2</v>
      </c>
      <c r="I50" s="31">
        <f>12.6+(15)/27*0.1</f>
        <v>12.655555555555555</v>
      </c>
      <c r="J50" s="24">
        <f t="shared" si="22"/>
        <v>0.89259259259259061</v>
      </c>
      <c r="K50" s="24">
        <f t="shared" si="23"/>
        <v>8.5185185185185475E-2</v>
      </c>
      <c r="L50" s="1">
        <f t="shared" si="24"/>
        <v>6.099748204279154E-2</v>
      </c>
      <c r="M50" s="24">
        <f t="shared" si="25"/>
        <v>0.5002104207042809</v>
      </c>
    </row>
    <row r="51" spans="1:13" x14ac:dyDescent="0.35">
      <c r="F51" s="30">
        <v>13.5</v>
      </c>
      <c r="G51" s="1">
        <f t="shared" si="21"/>
        <v>0.66566817359741792</v>
      </c>
      <c r="H51" s="8">
        <f t="shared" si="17"/>
        <v>3.8651078196830298E-3</v>
      </c>
      <c r="I51" s="31">
        <f>12.6+(25)/27*0.1</f>
        <v>12.692592592592593</v>
      </c>
      <c r="J51" s="24">
        <f t="shared" si="22"/>
        <v>0.9296296296296287</v>
      </c>
      <c r="K51" s="24">
        <f t="shared" si="23"/>
        <v>3.703703703703809E-2</v>
      </c>
      <c r="L51" s="1">
        <f t="shared" si="24"/>
        <v>2.6520644366431756E-2</v>
      </c>
      <c r="M51" s="24">
        <f t="shared" si="25"/>
        <v>0.46344774412454059</v>
      </c>
    </row>
    <row r="52" spans="1:13" x14ac:dyDescent="0.35">
      <c r="F52" s="30">
        <v>100</v>
      </c>
      <c r="G52" s="1">
        <f t="shared" si="21"/>
        <v>1</v>
      </c>
      <c r="H52" s="8">
        <f t="shared" si="17"/>
        <v>0</v>
      </c>
      <c r="I52" s="31">
        <f>+I46+$E$10</f>
        <v>13.15949905482042</v>
      </c>
      <c r="J52" s="24">
        <f t="shared" si="22"/>
        <v>1.3965360918574561</v>
      </c>
      <c r="K52" s="24">
        <f t="shared" si="23"/>
        <v>0.46690646222782739</v>
      </c>
      <c r="L52" s="1">
        <f t="shared" si="24"/>
        <v>0.33433182640258208</v>
      </c>
      <c r="M52" s="24">
        <f t="shared" si="25"/>
        <v>0</v>
      </c>
    </row>
    <row r="54" spans="1:13" ht="18.5" x14ac:dyDescent="0.45">
      <c r="A54" s="192" t="s">
        <v>961</v>
      </c>
      <c r="B54" s="185" t="s">
        <v>975</v>
      </c>
      <c r="F54" t="s">
        <v>99</v>
      </c>
    </row>
    <row r="55" spans="1:13" ht="101.5" x14ac:dyDescent="0.35">
      <c r="F55" s="30" t="s">
        <v>171</v>
      </c>
      <c r="G55" s="30" t="s">
        <v>178</v>
      </c>
      <c r="H55" s="55" t="s">
        <v>177</v>
      </c>
      <c r="I55" s="31" t="s">
        <v>179</v>
      </c>
      <c r="J55" s="30" t="s">
        <v>175</v>
      </c>
      <c r="K55" s="31" t="s">
        <v>174</v>
      </c>
      <c r="L55" s="30" t="s">
        <v>176</v>
      </c>
      <c r="M55" t="s">
        <v>237</v>
      </c>
    </row>
    <row r="56" spans="1:13" x14ac:dyDescent="0.35">
      <c r="F56" s="30">
        <v>0</v>
      </c>
      <c r="G56" s="30">
        <v>0</v>
      </c>
      <c r="H56" s="8">
        <f t="shared" ref="H56:H62" si="26">+L57/(F57-F56)</f>
        <v>0.1145919219735152</v>
      </c>
      <c r="I56" s="31">
        <f>+F9</f>
        <v>11.866666666666667</v>
      </c>
      <c r="J56" s="30">
        <v>0</v>
      </c>
      <c r="K56" s="30">
        <v>0</v>
      </c>
      <c r="L56" s="30">
        <v>0</v>
      </c>
    </row>
    <row r="57" spans="1:13" x14ac:dyDescent="0.35">
      <c r="F57" s="30">
        <v>3</v>
      </c>
      <c r="G57" s="1">
        <f>+J57/$F$10</f>
        <v>0.3437757659205456</v>
      </c>
      <c r="H57" s="8">
        <f t="shared" si="26"/>
        <v>9.0241138554142619E-2</v>
      </c>
      <c r="I57" s="31">
        <f>12.3+(2)/18*0.1</f>
        <v>12.311111111111112</v>
      </c>
      <c r="J57" s="24">
        <f t="shared" ref="J57:J61" si="27">+I57-$I$56</f>
        <v>0.44444444444444464</v>
      </c>
      <c r="K57" s="24">
        <f t="shared" ref="K57:K62" si="28">+I57-I56</f>
        <v>0.44444444444444464</v>
      </c>
      <c r="L57" s="1">
        <f t="shared" ref="L57:L62" si="29">+G57-G56</f>
        <v>0.3437757659205456</v>
      </c>
      <c r="M57" s="24">
        <f t="shared" ref="M57:M62" si="30">+(1-G57)*$C$10</f>
        <v>0.90965207888335464</v>
      </c>
    </row>
    <row r="58" spans="1:13" x14ac:dyDescent="0.35">
      <c r="F58" s="30">
        <v>6</v>
      </c>
      <c r="G58" s="1">
        <f t="shared" ref="G58:G62" si="31">+J58/$F$10</f>
        <v>0.61449918158297345</v>
      </c>
      <c r="H58" s="8">
        <f t="shared" si="26"/>
        <v>5.1566364888082084E-2</v>
      </c>
      <c r="I58" s="31">
        <f>12.7-(7)/18*0.1</f>
        <v>12.66111111111111</v>
      </c>
      <c r="J58" s="24">
        <f t="shared" si="27"/>
        <v>0.79444444444444251</v>
      </c>
      <c r="K58" s="24">
        <f t="shared" si="28"/>
        <v>0.34999999999999787</v>
      </c>
      <c r="L58" s="1">
        <f t="shared" si="29"/>
        <v>0.27072341566242786</v>
      </c>
      <c r="M58" s="24">
        <f t="shared" si="30"/>
        <v>0.53437773656165233</v>
      </c>
    </row>
    <row r="59" spans="1:13" x14ac:dyDescent="0.35">
      <c r="F59" s="30">
        <v>9</v>
      </c>
      <c r="G59" s="1">
        <f t="shared" si="31"/>
        <v>0.7691982762472197</v>
      </c>
      <c r="H59" s="8">
        <f t="shared" si="26"/>
        <v>2.7215581468709987E-2</v>
      </c>
      <c r="I59" s="31">
        <f>12.9-(7)/18*0.1</f>
        <v>12.861111111111111</v>
      </c>
      <c r="J59" s="24">
        <f t="shared" si="27"/>
        <v>0.99444444444444358</v>
      </c>
      <c r="K59" s="24">
        <f t="shared" si="28"/>
        <v>0.20000000000000107</v>
      </c>
      <c r="L59" s="1">
        <f t="shared" si="29"/>
        <v>0.15469909466424625</v>
      </c>
      <c r="M59" s="24">
        <f t="shared" si="30"/>
        <v>0.31993525523496297</v>
      </c>
    </row>
    <row r="60" spans="1:13" x14ac:dyDescent="0.35">
      <c r="F60" s="30">
        <v>12</v>
      </c>
      <c r="G60" s="1">
        <f t="shared" si="31"/>
        <v>0.85084502065334966</v>
      </c>
      <c r="H60" s="8">
        <f t="shared" si="26"/>
        <v>1.8621187320696359E-2</v>
      </c>
      <c r="I60" s="31">
        <f>13-(6)/18*0.1</f>
        <v>12.966666666666667</v>
      </c>
      <c r="J60" s="24">
        <f t="shared" si="27"/>
        <v>1.0999999999999996</v>
      </c>
      <c r="K60" s="24">
        <f t="shared" si="28"/>
        <v>0.10555555555555607</v>
      </c>
      <c r="L60" s="1">
        <f t="shared" si="29"/>
        <v>8.1646744406129956E-2</v>
      </c>
      <c r="M60" s="24">
        <f t="shared" si="30"/>
        <v>0.2067572789792102</v>
      </c>
    </row>
    <row r="61" spans="1:13" x14ac:dyDescent="0.35">
      <c r="F61" s="30">
        <v>13.5</v>
      </c>
      <c r="G61" s="1">
        <f t="shared" si="31"/>
        <v>0.8787768016343942</v>
      </c>
      <c r="H61" s="8">
        <f t="shared" si="26"/>
        <v>1.4014242585619167E-3</v>
      </c>
      <c r="I61" s="31">
        <f>13+(0.5)/18*0.1</f>
        <v>13.002777777777778</v>
      </c>
      <c r="J61" s="24">
        <f t="shared" si="27"/>
        <v>1.1361111111111111</v>
      </c>
      <c r="K61" s="24">
        <f t="shared" si="28"/>
        <v>3.6111111111111427E-2</v>
      </c>
      <c r="L61" s="1">
        <f t="shared" si="29"/>
        <v>2.7931780981044541E-2</v>
      </c>
      <c r="M61" s="24">
        <f t="shared" si="30"/>
        <v>0.16803849762855785</v>
      </c>
    </row>
    <row r="62" spans="1:13" x14ac:dyDescent="0.35">
      <c r="F62" s="30">
        <v>100</v>
      </c>
      <c r="G62" s="1">
        <f t="shared" si="31"/>
        <v>1</v>
      </c>
      <c r="H62" s="8">
        <f t="shared" si="26"/>
        <v>0</v>
      </c>
      <c r="I62" s="31">
        <f>+I52</f>
        <v>13.15949905482042</v>
      </c>
      <c r="J62" s="24">
        <f>+I62-$I$56</f>
        <v>1.2928323881537533</v>
      </c>
      <c r="K62" s="24">
        <f t="shared" si="28"/>
        <v>0.15672127704264227</v>
      </c>
      <c r="L62" s="1">
        <f t="shared" si="29"/>
        <v>0.1212231983656058</v>
      </c>
      <c r="M62" s="24">
        <f t="shared" si="30"/>
        <v>0</v>
      </c>
    </row>
  </sheetData>
  <hyperlinks>
    <hyperlink ref="A13" location="bookmark_index" display="Index"/>
    <hyperlink ref="A30" location="bookmark_index" display="Index"/>
    <hyperlink ref="A3" location="bookmark_index" display="Index"/>
    <hyperlink ref="A44" location="bookmark_index" display="Index"/>
    <hyperlink ref="A54" location="bookmark_index" display="Index"/>
    <hyperlink ref="E24" location="bookmark_index" display="Index"/>
  </hyperlink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29" workbookViewId="0">
      <selection activeCell="F49" sqref="F49"/>
    </sheetView>
  </sheetViews>
  <sheetFormatPr defaultRowHeight="14.5" x14ac:dyDescent="0.35"/>
  <cols>
    <col min="1" max="1" width="4.90625" customWidth="1"/>
    <col min="2" max="2" width="24" customWidth="1"/>
    <col min="3" max="3" width="16.08984375" customWidth="1"/>
    <col min="4" max="4" width="8.6328125" customWidth="1"/>
    <col min="5" max="5" width="13.453125" customWidth="1"/>
    <col min="6" max="6" width="10.90625" customWidth="1"/>
    <col min="10" max="10" width="8.7265625" style="1"/>
    <col min="12" max="12" width="11.36328125" bestFit="1" customWidth="1"/>
  </cols>
  <sheetData>
    <row r="1" spans="2:7" ht="18.5" x14ac:dyDescent="0.45">
      <c r="B1" s="171" t="s">
        <v>923</v>
      </c>
      <c r="D1" t="s">
        <v>1011</v>
      </c>
    </row>
    <row r="3" spans="2:7" x14ac:dyDescent="0.35">
      <c r="B3" s="23" t="s">
        <v>912</v>
      </c>
      <c r="C3" s="2">
        <v>10.82</v>
      </c>
    </row>
    <row r="4" spans="2:7" x14ac:dyDescent="0.35">
      <c r="B4" s="23" t="s">
        <v>920</v>
      </c>
      <c r="C4" s="2">
        <v>143</v>
      </c>
    </row>
    <row r="5" spans="2:7" x14ac:dyDescent="0.35">
      <c r="B5" s="21" t="s">
        <v>922</v>
      </c>
      <c r="C5" s="21" t="s">
        <v>913</v>
      </c>
      <c r="D5" s="21" t="s">
        <v>149</v>
      </c>
      <c r="E5" s="23" t="s">
        <v>921</v>
      </c>
    </row>
    <row r="6" spans="2:7" x14ac:dyDescent="0.35">
      <c r="B6" s="2" t="s">
        <v>915</v>
      </c>
      <c r="C6" s="2">
        <v>19</v>
      </c>
      <c r="D6" s="22">
        <f>11-C6/$C$4</f>
        <v>10.867132867132867</v>
      </c>
      <c r="E6" s="22">
        <f>+D6-$C$3</f>
        <v>4.7132867132866352E-2</v>
      </c>
    </row>
    <row r="7" spans="2:7" x14ac:dyDescent="0.35">
      <c r="B7" s="2" t="s">
        <v>917</v>
      </c>
      <c r="C7" s="2">
        <v>26</v>
      </c>
      <c r="D7" s="22">
        <f t="shared" ref="D7:D11" si="0">11-C7/$C$4</f>
        <v>10.818181818181818</v>
      </c>
      <c r="E7" s="22">
        <f t="shared" ref="E7:E11" si="1">+D7-$C$3</f>
        <v>-1.8181818181819409E-3</v>
      </c>
    </row>
    <row r="8" spans="2:7" x14ac:dyDescent="0.35">
      <c r="B8" s="2" t="s">
        <v>916</v>
      </c>
      <c r="C8" s="2">
        <v>28</v>
      </c>
      <c r="D8" s="22">
        <f t="shared" si="0"/>
        <v>10.804195804195805</v>
      </c>
      <c r="E8" s="22">
        <f t="shared" si="1"/>
        <v>-1.5804195804195231E-2</v>
      </c>
    </row>
    <row r="9" spans="2:7" x14ac:dyDescent="0.35">
      <c r="B9" s="2" t="s">
        <v>918</v>
      </c>
      <c r="C9" s="2">
        <v>29</v>
      </c>
      <c r="D9" s="22">
        <f t="shared" si="0"/>
        <v>10.797202797202797</v>
      </c>
      <c r="E9" s="22">
        <f t="shared" si="1"/>
        <v>-2.2797202797203653E-2</v>
      </c>
    </row>
    <row r="10" spans="2:7" x14ac:dyDescent="0.35">
      <c r="B10" s="2" t="s">
        <v>919</v>
      </c>
      <c r="C10" s="2">
        <v>41</v>
      </c>
      <c r="D10" s="22">
        <f t="shared" si="0"/>
        <v>10.713286713286713</v>
      </c>
      <c r="E10" s="22">
        <f t="shared" si="1"/>
        <v>-0.10671328671328695</v>
      </c>
    </row>
    <row r="11" spans="2:7" x14ac:dyDescent="0.35">
      <c r="B11" s="2" t="s">
        <v>914</v>
      </c>
      <c r="C11" s="2">
        <v>56</v>
      </c>
      <c r="D11" s="22">
        <f t="shared" si="0"/>
        <v>10.608391608391608</v>
      </c>
      <c r="E11" s="22">
        <f t="shared" si="1"/>
        <v>-0.21160839160839195</v>
      </c>
      <c r="G11">
        <f>1/0.000003</f>
        <v>333333.33333333331</v>
      </c>
    </row>
    <row r="18" spans="1:16" x14ac:dyDescent="0.35">
      <c r="A18" t="str">
        <f>+alph!A9</f>
        <v>H</v>
      </c>
      <c r="B18" t="s">
        <v>151</v>
      </c>
      <c r="C18" s="24">
        <v>69</v>
      </c>
      <c r="D18" t="s">
        <v>121</v>
      </c>
      <c r="E18" t="s">
        <v>169</v>
      </c>
    </row>
    <row r="19" spans="1:16" x14ac:dyDescent="0.35">
      <c r="B19" t="s">
        <v>164</v>
      </c>
      <c r="C19" s="24">
        <v>12.48</v>
      </c>
      <c r="D19" t="s">
        <v>149</v>
      </c>
      <c r="E19" t="s">
        <v>152</v>
      </c>
    </row>
    <row r="20" spans="1:16" x14ac:dyDescent="0.35">
      <c r="B20" t="s">
        <v>165</v>
      </c>
      <c r="C20">
        <v>72.5</v>
      </c>
      <c r="D20" t="s">
        <v>121</v>
      </c>
      <c r="E20" t="s">
        <v>168</v>
      </c>
    </row>
    <row r="21" spans="1:16" x14ac:dyDescent="0.35">
      <c r="A21" t="str">
        <f>+alph!A24</f>
        <v>W</v>
      </c>
      <c r="B21" t="s">
        <v>166</v>
      </c>
      <c r="C21" s="24">
        <v>0.05</v>
      </c>
      <c r="D21" t="s">
        <v>162</v>
      </c>
      <c r="E21" t="s">
        <v>163</v>
      </c>
    </row>
    <row r="22" spans="1:16" x14ac:dyDescent="0.35">
      <c r="B22" t="s">
        <v>167</v>
      </c>
      <c r="C22" s="24">
        <f>+C19+(C20-C18)*C21</f>
        <v>12.655000000000001</v>
      </c>
      <c r="D22" t="s">
        <v>149</v>
      </c>
    </row>
    <row r="23" spans="1:16" x14ac:dyDescent="0.35">
      <c r="A23" t="str">
        <f>+alph!A15</f>
        <v>N</v>
      </c>
      <c r="B23" t="s">
        <v>160</v>
      </c>
      <c r="C23">
        <v>11.28</v>
      </c>
      <c r="D23" t="s">
        <v>149</v>
      </c>
      <c r="E23" t="s">
        <v>161</v>
      </c>
    </row>
    <row r="24" spans="1:16" x14ac:dyDescent="0.35">
      <c r="B24" t="s">
        <v>170</v>
      </c>
      <c r="C24" s="24">
        <f>+C22-C23</f>
        <v>1.3750000000000018</v>
      </c>
    </row>
    <row r="25" spans="1:16" x14ac:dyDescent="0.35">
      <c r="C25" s="24"/>
    </row>
    <row r="26" spans="1:16" x14ac:dyDescent="0.35">
      <c r="F26" t="s">
        <v>172</v>
      </c>
      <c r="K26" s="24"/>
    </row>
    <row r="27" spans="1:16" x14ac:dyDescent="0.35">
      <c r="H27">
        <v>0.28360000000000002</v>
      </c>
      <c r="K27" s="24"/>
    </row>
    <row r="28" spans="1:16" s="4" customFormat="1" ht="72.5" x14ac:dyDescent="0.35">
      <c r="F28" s="30" t="s">
        <v>187</v>
      </c>
      <c r="G28" s="28" t="s">
        <v>186</v>
      </c>
      <c r="H28" s="28" t="s">
        <v>239</v>
      </c>
      <c r="I28" s="28" t="s">
        <v>215</v>
      </c>
      <c r="J28" s="28"/>
      <c r="K28" s="28" t="s">
        <v>188</v>
      </c>
      <c r="L28" s="30" t="s">
        <v>181</v>
      </c>
      <c r="M28" s="31" t="s">
        <v>182</v>
      </c>
      <c r="N28" s="30" t="s">
        <v>183</v>
      </c>
      <c r="O28" s="31" t="s">
        <v>184</v>
      </c>
      <c r="P28" s="30" t="s">
        <v>185</v>
      </c>
    </row>
    <row r="29" spans="1:16" s="4" customFormat="1" x14ac:dyDescent="0.35">
      <c r="F29" s="25">
        <f>+(L29+0.2836)/1.05</f>
        <v>8.8415238095238085</v>
      </c>
      <c r="H29" s="28">
        <f>+L29-F29</f>
        <v>0.15847619047619155</v>
      </c>
      <c r="I29" s="28"/>
      <c r="J29" s="28"/>
      <c r="K29" s="28"/>
      <c r="L29" s="4">
        <v>9</v>
      </c>
      <c r="M29" s="31"/>
      <c r="N29" s="30"/>
      <c r="O29" s="31"/>
      <c r="P29" s="30"/>
    </row>
    <row r="30" spans="1:16" s="4" customFormat="1" x14ac:dyDescent="0.35">
      <c r="F30" s="25">
        <f>+(L30+0.2836)/1.05</f>
        <v>12.651047619047619</v>
      </c>
      <c r="H30" s="28">
        <f>+L30-F30</f>
        <v>0.34895238095238135</v>
      </c>
      <c r="I30" s="28"/>
      <c r="J30" s="28"/>
      <c r="K30" s="28"/>
      <c r="L30" s="30">
        <v>13</v>
      </c>
      <c r="M30" s="31"/>
      <c r="N30" s="30"/>
      <c r="O30" s="31"/>
      <c r="P30" s="30"/>
    </row>
    <row r="31" spans="1:16" s="4" customFormat="1" x14ac:dyDescent="0.35">
      <c r="F31" s="30">
        <v>8</v>
      </c>
      <c r="G31" s="25">
        <f t="shared" ref="G31:G32" si="2">+L31-F31</f>
        <v>8.6206896551724199E-2</v>
      </c>
      <c r="I31" s="28"/>
      <c r="J31" s="28"/>
      <c r="K31" s="28"/>
      <c r="L31" s="4">
        <f>8+5/58</f>
        <v>8.0862068965517242</v>
      </c>
      <c r="M31" s="31"/>
      <c r="N31" s="30"/>
      <c r="O31" s="31"/>
      <c r="P31" s="30"/>
    </row>
    <row r="32" spans="1:16" s="4" customFormat="1" x14ac:dyDescent="0.35">
      <c r="F32" s="30">
        <v>9</v>
      </c>
      <c r="G32" s="25">
        <f t="shared" si="2"/>
        <v>0.1724137931034484</v>
      </c>
      <c r="H32" s="25"/>
      <c r="I32" s="28"/>
      <c r="J32" s="28"/>
      <c r="K32" s="28"/>
      <c r="L32" s="30">
        <f>9+10/58</f>
        <v>9.1724137931034484</v>
      </c>
      <c r="M32" s="31"/>
      <c r="N32" s="30"/>
      <c r="O32" s="31"/>
      <c r="P32" s="30"/>
    </row>
    <row r="33" spans="1:16" s="4" customFormat="1" x14ac:dyDescent="0.35">
      <c r="F33" s="30">
        <v>9.5</v>
      </c>
      <c r="G33" s="25">
        <f>+L33-F33</f>
        <v>0.2413793103448274</v>
      </c>
      <c r="H33" s="25"/>
      <c r="I33" s="28"/>
      <c r="J33" s="28"/>
      <c r="K33" s="28"/>
      <c r="L33" s="30">
        <f>10-15/58</f>
        <v>9.7413793103448274</v>
      </c>
      <c r="M33" s="31"/>
      <c r="N33" s="30"/>
      <c r="O33" s="31"/>
      <c r="P33" s="30"/>
    </row>
    <row r="34" spans="1:16" s="4" customFormat="1" x14ac:dyDescent="0.35">
      <c r="F34" s="30">
        <v>10</v>
      </c>
      <c r="G34" s="25">
        <f>+L34-F34</f>
        <v>0.2586206896551726</v>
      </c>
      <c r="H34" s="25"/>
      <c r="I34" s="28"/>
      <c r="J34" s="28"/>
      <c r="K34" s="28"/>
      <c r="L34" s="30">
        <f>10+15/58</f>
        <v>10.258620689655173</v>
      </c>
      <c r="M34" s="31"/>
      <c r="N34" s="30"/>
      <c r="O34" s="31"/>
      <c r="P34" s="30"/>
    </row>
    <row r="35" spans="1:16" s="4" customFormat="1" x14ac:dyDescent="0.35">
      <c r="F35" s="30">
        <v>10.5</v>
      </c>
      <c r="G35" s="25">
        <f>+L35-F35</f>
        <v>0.25</v>
      </c>
      <c r="H35" s="25"/>
      <c r="I35" s="28"/>
      <c r="J35" s="28"/>
      <c r="K35" s="28"/>
      <c r="L35" s="30">
        <f>11-14/56</f>
        <v>10.75</v>
      </c>
      <c r="M35" s="31"/>
      <c r="N35" s="30"/>
      <c r="O35" s="31"/>
      <c r="P35" s="30"/>
    </row>
    <row r="36" spans="1:16" x14ac:dyDescent="0.35">
      <c r="F36">
        <v>10.6</v>
      </c>
      <c r="G36" s="25">
        <f>+L36-F36</f>
        <v>0.21034482758620676</v>
      </c>
      <c r="H36" s="25"/>
      <c r="I36" s="25"/>
      <c r="J36" s="25"/>
      <c r="K36" s="25">
        <f>+(G37-G36)/(F37-F36)</f>
        <v>0.11244377811094459</v>
      </c>
      <c r="L36" s="25">
        <f>11-P36/O36</f>
        <v>10.810344827586206</v>
      </c>
      <c r="M36" s="25"/>
      <c r="N36">
        <v>56</v>
      </c>
      <c r="O36" s="25">
        <v>58</v>
      </c>
      <c r="P36">
        <v>11</v>
      </c>
    </row>
    <row r="37" spans="1:16" x14ac:dyDescent="0.35">
      <c r="F37" s="24">
        <f>+L37+G37</f>
        <v>11.175000000000001</v>
      </c>
      <c r="G37" s="25">
        <v>0.27500000000000002</v>
      </c>
      <c r="H37" s="25"/>
      <c r="I37" s="25"/>
      <c r="J37" s="25"/>
      <c r="K37" s="25">
        <f t="shared" ref="K37:K40" si="3">+(G38-G37)/(F38-F37)</f>
        <v>0</v>
      </c>
      <c r="L37" s="25">
        <v>10.9</v>
      </c>
      <c r="M37" s="25"/>
      <c r="N37" s="24"/>
      <c r="O37" s="24"/>
      <c r="P37" s="1"/>
    </row>
    <row r="38" spans="1:16" x14ac:dyDescent="0.35">
      <c r="A38" t="str">
        <f>+alph!A16</f>
        <v>O</v>
      </c>
      <c r="F38">
        <v>11.5</v>
      </c>
      <c r="G38" s="25">
        <v>0.27500000000000002</v>
      </c>
      <c r="H38" s="25"/>
      <c r="I38" s="25"/>
      <c r="J38" s="25"/>
      <c r="K38" s="25">
        <f t="shared" si="3"/>
        <v>0.10517241379310316</v>
      </c>
      <c r="L38" s="25">
        <f>12-P38/O36</f>
        <v>11.810344827586206</v>
      </c>
      <c r="M38" s="25"/>
      <c r="N38" s="24"/>
      <c r="O38" s="24"/>
      <c r="P38">
        <v>11</v>
      </c>
    </row>
    <row r="39" spans="1:16" x14ac:dyDescent="0.35">
      <c r="F39">
        <v>12</v>
      </c>
      <c r="G39" s="25">
        <f>+L39-F39</f>
        <v>0.3275862068965516</v>
      </c>
      <c r="H39" s="25"/>
      <c r="I39" s="25"/>
      <c r="J39" s="25"/>
      <c r="K39" s="25">
        <f t="shared" si="3"/>
        <v>0.13590263691684221</v>
      </c>
      <c r="L39" s="25">
        <f>12+19/O36</f>
        <v>12.327586206896552</v>
      </c>
      <c r="M39" s="25"/>
      <c r="N39" s="24"/>
      <c r="O39" s="24"/>
      <c r="P39" s="1"/>
    </row>
    <row r="40" spans="1:16" x14ac:dyDescent="0.35">
      <c r="A40" t="str">
        <f>+alph!A17</f>
        <v>P</v>
      </c>
      <c r="F40">
        <f>12+17/112</f>
        <v>12.151785714285714</v>
      </c>
      <c r="G40" s="25">
        <f>+L40-F40</f>
        <v>0.34821428571428648</v>
      </c>
      <c r="H40" s="25"/>
      <c r="I40" s="25"/>
      <c r="J40" s="25"/>
      <c r="K40" s="25">
        <f t="shared" si="3"/>
        <v>-9.725906277631877E-3</v>
      </c>
      <c r="L40" s="25">
        <v>12.5</v>
      </c>
      <c r="M40" s="25"/>
      <c r="N40" s="24"/>
      <c r="O40" s="24"/>
      <c r="P40" s="1"/>
    </row>
    <row r="41" spans="1:16" x14ac:dyDescent="0.35">
      <c r="C41" s="8"/>
      <c r="F41">
        <v>12.5</v>
      </c>
      <c r="G41" s="25">
        <f>+L41-F41</f>
        <v>0.3448275862068968</v>
      </c>
      <c r="H41" s="25"/>
      <c r="I41" s="25"/>
      <c r="J41" s="25"/>
      <c r="K41" s="25">
        <f>+(G43-G41)/(F43-F41)</f>
        <v>0.12337867763365916</v>
      </c>
      <c r="L41" s="25">
        <f>13-9/O36</f>
        <v>12.844827586206897</v>
      </c>
      <c r="M41" s="25"/>
      <c r="N41" s="24"/>
      <c r="O41" s="24"/>
      <c r="P41" s="1"/>
    </row>
    <row r="42" spans="1:16" x14ac:dyDescent="0.35">
      <c r="C42" s="8"/>
      <c r="F42">
        <v>13</v>
      </c>
      <c r="G42" s="25">
        <f>+L42-F42</f>
        <v>0.31034482758620641</v>
      </c>
      <c r="H42" s="25"/>
      <c r="I42" s="25"/>
      <c r="J42" s="25"/>
      <c r="K42" s="25"/>
      <c r="L42" s="25">
        <f>13+0.310344827586207</f>
        <v>13.310344827586206</v>
      </c>
      <c r="M42" s="25"/>
      <c r="N42" s="24"/>
      <c r="O42" s="24"/>
      <c r="P42" s="1"/>
    </row>
    <row r="43" spans="1:16" x14ac:dyDescent="0.35">
      <c r="A43" t="str">
        <f>+alph!A18</f>
        <v>Q</v>
      </c>
      <c r="F43">
        <f>14-50/106</f>
        <v>13.528301886792454</v>
      </c>
      <c r="G43" s="25">
        <f>+K43-F43</f>
        <v>0.4716981132075464</v>
      </c>
      <c r="H43" s="25"/>
      <c r="I43" s="25">
        <f>+G43</f>
        <v>0.4716981132075464</v>
      </c>
      <c r="J43"/>
      <c r="K43" s="25">
        <v>14</v>
      </c>
      <c r="L43" s="25"/>
      <c r="M43" s="24"/>
      <c r="N43" s="24"/>
      <c r="O43" s="1"/>
    </row>
    <row r="44" spans="1:16" x14ac:dyDescent="0.35">
      <c r="F44">
        <v>14</v>
      </c>
      <c r="G44" s="25">
        <f>+K44-F44</f>
        <v>0.431034482758621</v>
      </c>
      <c r="H44" s="25"/>
      <c r="I44" s="25"/>
      <c r="J44"/>
      <c r="K44" s="25">
        <f>14+0.431034482758621</f>
        <v>14.431034482758621</v>
      </c>
      <c r="L44" s="25"/>
      <c r="M44" s="24"/>
      <c r="N44" s="24"/>
      <c r="O44" s="1"/>
    </row>
    <row r="45" spans="1:16" x14ac:dyDescent="0.35">
      <c r="A45" t="str">
        <f>+alph!A20</f>
        <v>S</v>
      </c>
      <c r="F45">
        <v>8</v>
      </c>
      <c r="I45" s="24">
        <v>0.06</v>
      </c>
      <c r="J45" s="1" t="s">
        <v>216</v>
      </c>
      <c r="K45" s="24"/>
      <c r="L45" s="24"/>
      <c r="M45" s="24"/>
      <c r="N45" s="1"/>
      <c r="O45" s="24"/>
    </row>
    <row r="46" spans="1:16" x14ac:dyDescent="0.35">
      <c r="A46" t="str">
        <f>+alph!A21</f>
        <v>T</v>
      </c>
      <c r="F46">
        <f>+F44</f>
        <v>14</v>
      </c>
      <c r="I46" s="24">
        <v>0.46</v>
      </c>
      <c r="J46" s="25">
        <f>+(I46-I45)/(F46-F45)</f>
        <v>6.6666666666666666E-2</v>
      </c>
    </row>
    <row r="47" spans="1:16" x14ac:dyDescent="0.35">
      <c r="E47" t="s">
        <v>223</v>
      </c>
      <c r="F47">
        <v>14</v>
      </c>
      <c r="G47" s="24">
        <f>+I45+(F47-F45)*J46</f>
        <v>0.46</v>
      </c>
      <c r="H47" s="24"/>
      <c r="I47" s="24"/>
      <c r="J47" s="25"/>
    </row>
    <row r="48" spans="1:16" x14ac:dyDescent="0.35">
      <c r="F48" t="s">
        <v>264</v>
      </c>
      <c r="G48" s="24"/>
      <c r="H48" s="24"/>
      <c r="I48" s="24"/>
      <c r="J48" s="25"/>
    </row>
    <row r="49" spans="3:10" x14ac:dyDescent="0.35">
      <c r="F49" t="s">
        <v>240</v>
      </c>
      <c r="G49" s="24"/>
      <c r="H49" s="24"/>
      <c r="I49" s="24"/>
      <c r="J49" s="25">
        <f>+F30*1.05-0.2836</f>
        <v>13</v>
      </c>
    </row>
    <row r="50" spans="3:10" x14ac:dyDescent="0.35">
      <c r="F50" t="s">
        <v>265</v>
      </c>
      <c r="G50" s="24"/>
      <c r="H50" s="24"/>
      <c r="I50" s="24"/>
      <c r="J50" s="25"/>
    </row>
    <row r="51" spans="3:10" x14ac:dyDescent="0.35">
      <c r="G51" s="24"/>
      <c r="H51" s="24"/>
      <c r="I51" s="24"/>
      <c r="J51" s="25"/>
    </row>
    <row r="52" spans="3:10" x14ac:dyDescent="0.35">
      <c r="E52" t="s">
        <v>224</v>
      </c>
      <c r="F52" s="24">
        <f>+F47+G47</f>
        <v>14.46</v>
      </c>
      <c r="I52" s="24"/>
      <c r="J52" s="25"/>
    </row>
    <row r="53" spans="3:10" x14ac:dyDescent="0.35">
      <c r="C53" s="8"/>
      <c r="E53" t="s">
        <v>120</v>
      </c>
      <c r="F53" t="s">
        <v>218</v>
      </c>
      <c r="G53">
        <f>+F45</f>
        <v>8</v>
      </c>
    </row>
    <row r="54" spans="3:10" x14ac:dyDescent="0.35">
      <c r="E54" t="s">
        <v>220</v>
      </c>
      <c r="F54" t="s">
        <v>217</v>
      </c>
      <c r="G54" s="24">
        <f>+I45</f>
        <v>0.06</v>
      </c>
      <c r="H54" s="24"/>
    </row>
    <row r="55" spans="3:10" x14ac:dyDescent="0.35">
      <c r="E55" t="s">
        <v>221</v>
      </c>
      <c r="F55" t="s">
        <v>219</v>
      </c>
      <c r="I55" s="24">
        <f>+J46</f>
        <v>6.6666666666666666E-2</v>
      </c>
    </row>
    <row r="56" spans="3:10" x14ac:dyDescent="0.35">
      <c r="E56" t="s">
        <v>225</v>
      </c>
      <c r="I56" s="24"/>
    </row>
    <row r="57" spans="3:10" x14ac:dyDescent="0.35">
      <c r="C57" s="1"/>
      <c r="E57" t="s">
        <v>226</v>
      </c>
      <c r="F57" s="24"/>
    </row>
    <row r="58" spans="3:10" x14ac:dyDescent="0.35">
      <c r="C58" s="1"/>
      <c r="E58" t="s">
        <v>227</v>
      </c>
    </row>
    <row r="59" spans="3:10" x14ac:dyDescent="0.35">
      <c r="E59" t="s">
        <v>228</v>
      </c>
    </row>
    <row r="60" spans="3:10" x14ac:dyDescent="0.35">
      <c r="F60" t="s">
        <v>68</v>
      </c>
      <c r="G60" t="s">
        <v>71</v>
      </c>
    </row>
    <row r="61" spans="3:10" x14ac:dyDescent="0.35">
      <c r="C61" s="8"/>
      <c r="E61" t="s">
        <v>222</v>
      </c>
      <c r="F61">
        <v>12.5</v>
      </c>
      <c r="G61">
        <v>13</v>
      </c>
    </row>
    <row r="62" spans="3:10" x14ac:dyDescent="0.35">
      <c r="E62" t="s">
        <v>70</v>
      </c>
      <c r="F62" s="24">
        <f>+(F61-$G$54+$G$53*$I$55)/(1+$I$55)</f>
        <v>12.1625</v>
      </c>
      <c r="G62" s="24">
        <f>+(G61-$G$54+$G$53*$I$55)/(1+$I$55)</f>
        <v>12.63125</v>
      </c>
      <c r="H62" s="24"/>
    </row>
    <row r="63" spans="3:10" x14ac:dyDescent="0.35">
      <c r="E63" t="s">
        <v>229</v>
      </c>
      <c r="F63" s="24">
        <f>+F61-F62</f>
        <v>0.33750000000000036</v>
      </c>
      <c r="G63" s="24">
        <f>+G61-G62</f>
        <v>0.36875000000000036</v>
      </c>
      <c r="H63" s="24"/>
    </row>
    <row r="64" spans="3:10" x14ac:dyDescent="0.35">
      <c r="C64" s="8"/>
    </row>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0" workbookViewId="0">
      <selection activeCell="A2" sqref="A2"/>
    </sheetView>
  </sheetViews>
  <sheetFormatPr defaultRowHeight="14.5" x14ac:dyDescent="0.35"/>
  <cols>
    <col min="1" max="1" width="20.54296875" customWidth="1"/>
  </cols>
  <sheetData>
    <row r="1" spans="1:7" x14ac:dyDescent="0.35">
      <c r="A1" t="s">
        <v>998</v>
      </c>
    </row>
    <row r="2" spans="1:7" x14ac:dyDescent="0.35">
      <c r="A2" t="s">
        <v>18</v>
      </c>
    </row>
    <row r="3" spans="1:7" x14ac:dyDescent="0.35">
      <c r="A3">
        <f>11.4+4/5*0.2</f>
        <v>11.56</v>
      </c>
      <c r="B3" t="s">
        <v>26</v>
      </c>
    </row>
    <row r="4" spans="1:7" x14ac:dyDescent="0.35">
      <c r="A4">
        <f>12.4+4.5/5*0.2</f>
        <v>12.58</v>
      </c>
      <c r="B4" t="s">
        <v>27</v>
      </c>
    </row>
    <row r="5" spans="1:7" x14ac:dyDescent="0.35">
      <c r="A5">
        <f>+A4-A3</f>
        <v>1.0199999999999996</v>
      </c>
      <c r="B5" t="s">
        <v>19</v>
      </c>
    </row>
    <row r="6" spans="1:7" x14ac:dyDescent="0.35">
      <c r="A6">
        <v>70</v>
      </c>
      <c r="B6" t="s">
        <v>20</v>
      </c>
    </row>
    <row r="7" spans="1:7" x14ac:dyDescent="0.35">
      <c r="A7">
        <v>50</v>
      </c>
      <c r="B7" t="s">
        <v>21</v>
      </c>
    </row>
    <row r="8" spans="1:7" x14ac:dyDescent="0.35">
      <c r="A8">
        <f>+A6-A7</f>
        <v>20</v>
      </c>
      <c r="B8" t="s">
        <v>19</v>
      </c>
    </row>
    <row r="9" spans="1:7" x14ac:dyDescent="0.35">
      <c r="A9">
        <v>529.66999999999996</v>
      </c>
      <c r="B9" t="s">
        <v>22</v>
      </c>
      <c r="D9" t="s">
        <v>24</v>
      </c>
    </row>
    <row r="10" spans="1:7" x14ac:dyDescent="0.35">
      <c r="A10">
        <v>509.27</v>
      </c>
      <c r="B10" t="s">
        <v>23</v>
      </c>
      <c r="D10" t="s">
        <v>24</v>
      </c>
    </row>
    <row r="11" spans="1:7" x14ac:dyDescent="0.35">
      <c r="A11">
        <v>14.7</v>
      </c>
      <c r="B11" t="s">
        <v>33</v>
      </c>
    </row>
    <row r="12" spans="1:7" x14ac:dyDescent="0.35">
      <c r="A12">
        <v>1086</v>
      </c>
      <c r="B12" t="s">
        <v>34</v>
      </c>
      <c r="G12" s="13"/>
    </row>
    <row r="13" spans="1:7" x14ac:dyDescent="0.35">
      <c r="A13">
        <v>76</v>
      </c>
      <c r="B13" t="s">
        <v>35</v>
      </c>
      <c r="G13" s="13"/>
    </row>
    <row r="14" spans="1:7" x14ac:dyDescent="0.35">
      <c r="A14" s="12">
        <v>14.15</v>
      </c>
      <c r="B14" t="s">
        <v>36</v>
      </c>
    </row>
    <row r="15" spans="1:7" x14ac:dyDescent="0.35">
      <c r="A15">
        <f>+A14+A4</f>
        <v>26.73</v>
      </c>
      <c r="B15" t="s">
        <v>30</v>
      </c>
    </row>
    <row r="16" spans="1:7" x14ac:dyDescent="0.35">
      <c r="A16">
        <f>+A3+A14</f>
        <v>25.71</v>
      </c>
      <c r="B16" t="s">
        <v>31</v>
      </c>
    </row>
    <row r="17" spans="1:5" x14ac:dyDescent="0.35">
      <c r="A17">
        <f>+A15*A10/A9</f>
        <v>25.700506164215454</v>
      </c>
      <c r="B17" t="s">
        <v>28</v>
      </c>
      <c r="E17" t="s">
        <v>25</v>
      </c>
    </row>
    <row r="18" spans="1:5" x14ac:dyDescent="0.35">
      <c r="A18">
        <f>+A17-A14</f>
        <v>11.550506164215454</v>
      </c>
      <c r="B18" t="s">
        <v>29</v>
      </c>
    </row>
    <row r="19" spans="1:5" x14ac:dyDescent="0.35">
      <c r="A19" s="14">
        <f>+A3-A18</f>
        <v>9.4938357845464338E-3</v>
      </c>
      <c r="B19" t="s">
        <v>32</v>
      </c>
    </row>
    <row r="20" spans="1:5" x14ac:dyDescent="0.35">
      <c r="A20">
        <v>250</v>
      </c>
      <c r="B20" t="s">
        <v>62</v>
      </c>
    </row>
    <row r="21" spans="1:5" x14ac:dyDescent="0.35">
      <c r="A21">
        <f>29.44*14.73/29.9</f>
        <v>14.503384615384617</v>
      </c>
      <c r="B21" t="s">
        <v>53</v>
      </c>
    </row>
    <row r="22" spans="1:5" x14ac:dyDescent="0.35">
      <c r="A22">
        <f>+A21+A4</f>
        <v>27.083384615384617</v>
      </c>
      <c r="B22" t="s">
        <v>54</v>
      </c>
    </row>
    <row r="23" spans="1:5" x14ac:dyDescent="0.35">
      <c r="A23">
        <f>+A22*A10/A9</f>
        <v>26.040280331294817</v>
      </c>
      <c r="B23" t="s">
        <v>55</v>
      </c>
    </row>
    <row r="24" spans="1:5" x14ac:dyDescent="0.35">
      <c r="A24">
        <f>+A23-A21</f>
        <v>11.5368957159102</v>
      </c>
      <c r="B24" t="s">
        <v>56</v>
      </c>
    </row>
    <row r="25" spans="1:5" x14ac:dyDescent="0.35">
      <c r="A25" s="14">
        <f>+A24-A18</f>
        <v>-1.3610448305254153E-2</v>
      </c>
      <c r="B25" t="s">
        <v>57</v>
      </c>
    </row>
    <row r="26" spans="1:5" x14ac:dyDescent="0.35">
      <c r="A26" t="s">
        <v>51</v>
      </c>
    </row>
    <row r="27" spans="1:5" x14ac:dyDescent="0.35">
      <c r="A27">
        <v>0.3</v>
      </c>
      <c r="B27" t="s">
        <v>49</v>
      </c>
    </row>
    <row r="28" spans="1:5" x14ac:dyDescent="0.35">
      <c r="A28">
        <f>+A4-A27</f>
        <v>12.28</v>
      </c>
      <c r="B28" t="s">
        <v>50</v>
      </c>
    </row>
    <row r="29" spans="1:5" x14ac:dyDescent="0.35">
      <c r="A29">
        <f>+A28+A21</f>
        <v>26.783384615384616</v>
      </c>
      <c r="B29" t="s">
        <v>52</v>
      </c>
    </row>
    <row r="30" spans="1:5" x14ac:dyDescent="0.35">
      <c r="A30">
        <f>+A29*A10/A9</f>
        <v>25.7518346953328</v>
      </c>
      <c r="B30" t="s">
        <v>58</v>
      </c>
    </row>
    <row r="31" spans="1:5" x14ac:dyDescent="0.35">
      <c r="A31">
        <f>+A30-A21</f>
        <v>11.248450079948183</v>
      </c>
      <c r="B31" t="s">
        <v>59</v>
      </c>
    </row>
    <row r="32" spans="1:5" x14ac:dyDescent="0.35">
      <c r="A32">
        <f>+A24-A31</f>
        <v>0.28844563596201667</v>
      </c>
      <c r="B32" t="s">
        <v>60</v>
      </c>
    </row>
    <row r="33" spans="1:2" x14ac:dyDescent="0.35">
      <c r="A33">
        <f>+A32/A27</f>
        <v>0.9614854532067223</v>
      </c>
      <c r="B33" t="s">
        <v>61</v>
      </c>
    </row>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selection activeCell="C2" sqref="C2:C95"/>
    </sheetView>
  </sheetViews>
  <sheetFormatPr defaultRowHeight="14.5" x14ac:dyDescent="0.35"/>
  <sheetData>
    <row r="1" spans="1:3" x14ac:dyDescent="0.35">
      <c r="A1" t="s">
        <v>646</v>
      </c>
      <c r="B1" t="s">
        <v>647</v>
      </c>
      <c r="C1" t="s">
        <v>860</v>
      </c>
    </row>
    <row r="2" spans="1:3" x14ac:dyDescent="0.35">
      <c r="A2" t="s">
        <v>118</v>
      </c>
      <c r="B2" t="str">
        <f>+B$1&amp;"_"&amp;A$2</f>
        <v>Gas_A</v>
      </c>
      <c r="C2" t="str">
        <f>+C$1&amp;"_"&amp;$A2</f>
        <v>Ref_A</v>
      </c>
    </row>
    <row r="3" spans="1:3" x14ac:dyDescent="0.35">
      <c r="A3" t="s">
        <v>120</v>
      </c>
      <c r="B3" t="str">
        <f t="shared" ref="B3:B66" si="0">+B$1&amp;"_"&amp;A3</f>
        <v>Gas_B</v>
      </c>
      <c r="C3" t="str">
        <f t="shared" ref="C3:C66" si="1">+C$1&amp;"_"&amp;$A3</f>
        <v>Ref_B</v>
      </c>
    </row>
    <row r="4" spans="1:3" x14ac:dyDescent="0.35">
      <c r="A4" t="s">
        <v>122</v>
      </c>
      <c r="B4" t="str">
        <f t="shared" si="0"/>
        <v>Gas_C</v>
      </c>
      <c r="C4" t="str">
        <f t="shared" si="1"/>
        <v>Ref_C</v>
      </c>
    </row>
    <row r="5" spans="1:3" x14ac:dyDescent="0.35">
      <c r="A5" t="s">
        <v>130</v>
      </c>
      <c r="B5" t="str">
        <f t="shared" si="0"/>
        <v>Gas_D</v>
      </c>
      <c r="C5" t="str">
        <f t="shared" si="1"/>
        <v>Ref_D</v>
      </c>
    </row>
    <row r="6" spans="1:3" x14ac:dyDescent="0.35">
      <c r="A6" t="s">
        <v>127</v>
      </c>
      <c r="B6" t="str">
        <f t="shared" si="0"/>
        <v>Gas_E</v>
      </c>
      <c r="C6" t="str">
        <f t="shared" si="1"/>
        <v>Ref_E</v>
      </c>
    </row>
    <row r="7" spans="1:3" x14ac:dyDescent="0.35">
      <c r="A7" t="s">
        <v>121</v>
      </c>
      <c r="B7" t="str">
        <f t="shared" si="0"/>
        <v>Gas_F</v>
      </c>
      <c r="C7" t="str">
        <f t="shared" si="1"/>
        <v>Ref_F</v>
      </c>
    </row>
    <row r="8" spans="1:3" x14ac:dyDescent="0.35">
      <c r="A8" t="s">
        <v>131</v>
      </c>
      <c r="B8" t="str">
        <f t="shared" si="0"/>
        <v>Gas_G</v>
      </c>
      <c r="C8" t="str">
        <f t="shared" si="1"/>
        <v>Ref_G</v>
      </c>
    </row>
    <row r="9" spans="1:3" x14ac:dyDescent="0.35">
      <c r="A9" t="s">
        <v>132</v>
      </c>
      <c r="B9" t="str">
        <f t="shared" si="0"/>
        <v>Gas_H</v>
      </c>
      <c r="C9" t="str">
        <f t="shared" si="1"/>
        <v>Ref_H</v>
      </c>
    </row>
    <row r="10" spans="1:3" x14ac:dyDescent="0.35">
      <c r="A10" t="s">
        <v>125</v>
      </c>
      <c r="B10" t="str">
        <f t="shared" si="0"/>
        <v>Gas_I</v>
      </c>
      <c r="C10" t="str">
        <f t="shared" si="1"/>
        <v>Ref_I</v>
      </c>
    </row>
    <row r="11" spans="1:3" x14ac:dyDescent="0.35">
      <c r="A11" t="s">
        <v>133</v>
      </c>
      <c r="B11" t="str">
        <f t="shared" si="0"/>
        <v>Gas_J</v>
      </c>
      <c r="C11" t="str">
        <f t="shared" si="1"/>
        <v>Ref_J</v>
      </c>
    </row>
    <row r="12" spans="1:3" x14ac:dyDescent="0.35">
      <c r="A12" t="s">
        <v>134</v>
      </c>
      <c r="B12" t="str">
        <f t="shared" si="0"/>
        <v>Gas_K</v>
      </c>
      <c r="C12" t="str">
        <f t="shared" si="1"/>
        <v>Ref_K</v>
      </c>
    </row>
    <row r="13" spans="1:3" x14ac:dyDescent="0.35">
      <c r="A13" t="s">
        <v>135</v>
      </c>
      <c r="B13" t="str">
        <f t="shared" si="0"/>
        <v>Gas_L</v>
      </c>
      <c r="C13" t="str">
        <f t="shared" si="1"/>
        <v>Ref_L</v>
      </c>
    </row>
    <row r="14" spans="1:3" x14ac:dyDescent="0.35">
      <c r="A14" t="s">
        <v>126</v>
      </c>
      <c r="B14" t="str">
        <f t="shared" si="0"/>
        <v>Gas_M</v>
      </c>
      <c r="C14" t="str">
        <f t="shared" si="1"/>
        <v>Ref_M</v>
      </c>
    </row>
    <row r="15" spans="1:3" x14ac:dyDescent="0.35">
      <c r="A15" t="s">
        <v>136</v>
      </c>
      <c r="B15" t="str">
        <f t="shared" si="0"/>
        <v>Gas_N</v>
      </c>
      <c r="C15" t="str">
        <f t="shared" si="1"/>
        <v>Ref_N</v>
      </c>
    </row>
    <row r="16" spans="1:3" x14ac:dyDescent="0.35">
      <c r="A16" t="s">
        <v>128</v>
      </c>
      <c r="B16" t="str">
        <f t="shared" si="0"/>
        <v>Gas_O</v>
      </c>
      <c r="C16" t="str">
        <f t="shared" si="1"/>
        <v>Ref_O</v>
      </c>
    </row>
    <row r="17" spans="1:3" x14ac:dyDescent="0.35">
      <c r="A17" t="s">
        <v>129</v>
      </c>
      <c r="B17" t="str">
        <f t="shared" si="0"/>
        <v>Gas_P</v>
      </c>
      <c r="C17" t="str">
        <f t="shared" si="1"/>
        <v>Ref_P</v>
      </c>
    </row>
    <row r="18" spans="1:3" x14ac:dyDescent="0.35">
      <c r="A18" t="s">
        <v>137</v>
      </c>
      <c r="B18" t="str">
        <f t="shared" si="0"/>
        <v>Gas_Q</v>
      </c>
      <c r="C18" t="str">
        <f t="shared" si="1"/>
        <v>Ref_Q</v>
      </c>
    </row>
    <row r="19" spans="1:3" x14ac:dyDescent="0.35">
      <c r="A19" t="s">
        <v>138</v>
      </c>
      <c r="B19" t="str">
        <f t="shared" si="0"/>
        <v>Gas_R</v>
      </c>
      <c r="C19" t="str">
        <f t="shared" si="1"/>
        <v>Ref_R</v>
      </c>
    </row>
    <row r="20" spans="1:3" x14ac:dyDescent="0.35">
      <c r="A20" t="s">
        <v>124</v>
      </c>
      <c r="B20" t="str">
        <f t="shared" si="0"/>
        <v>Gas_S</v>
      </c>
      <c r="C20" t="str">
        <f t="shared" si="1"/>
        <v>Ref_S</v>
      </c>
    </row>
    <row r="21" spans="1:3" x14ac:dyDescent="0.35">
      <c r="A21" t="s">
        <v>123</v>
      </c>
      <c r="B21" t="str">
        <f t="shared" si="0"/>
        <v>Gas_T</v>
      </c>
      <c r="C21" t="str">
        <f t="shared" si="1"/>
        <v>Ref_T</v>
      </c>
    </row>
    <row r="22" spans="1:3" x14ac:dyDescent="0.35">
      <c r="A22" t="s">
        <v>139</v>
      </c>
      <c r="B22" t="str">
        <f t="shared" si="0"/>
        <v>Gas_U</v>
      </c>
      <c r="C22" t="str">
        <f t="shared" si="1"/>
        <v>Ref_U</v>
      </c>
    </row>
    <row r="23" spans="1:3" x14ac:dyDescent="0.35">
      <c r="A23" t="s">
        <v>140</v>
      </c>
      <c r="B23" t="str">
        <f t="shared" si="0"/>
        <v>Gas_V</v>
      </c>
      <c r="C23" t="str">
        <f t="shared" si="1"/>
        <v>Ref_V</v>
      </c>
    </row>
    <row r="24" spans="1:3" x14ac:dyDescent="0.35">
      <c r="A24" t="s">
        <v>141</v>
      </c>
      <c r="B24" t="str">
        <f t="shared" si="0"/>
        <v>Gas_W</v>
      </c>
      <c r="C24" t="str">
        <f t="shared" si="1"/>
        <v>Ref_W</v>
      </c>
    </row>
    <row r="25" spans="1:3" x14ac:dyDescent="0.35">
      <c r="A25" t="s">
        <v>142</v>
      </c>
      <c r="B25" t="str">
        <f t="shared" si="0"/>
        <v>Gas_X</v>
      </c>
      <c r="C25" t="str">
        <f t="shared" si="1"/>
        <v>Ref_X</v>
      </c>
    </row>
    <row r="26" spans="1:3" x14ac:dyDescent="0.35">
      <c r="A26" t="s">
        <v>143</v>
      </c>
      <c r="B26" t="str">
        <f t="shared" si="0"/>
        <v>Gas_Y</v>
      </c>
      <c r="C26" t="str">
        <f t="shared" si="1"/>
        <v>Ref_Y</v>
      </c>
    </row>
    <row r="27" spans="1:3" x14ac:dyDescent="0.35">
      <c r="A27" t="s">
        <v>144</v>
      </c>
      <c r="B27" t="str">
        <f t="shared" si="0"/>
        <v>Gas_Z</v>
      </c>
      <c r="C27" t="str">
        <f t="shared" si="1"/>
        <v>Ref_Z</v>
      </c>
    </row>
    <row r="28" spans="1:3" x14ac:dyDescent="0.35">
      <c r="A28" t="str">
        <f>+"A"&amp;TEXT(A2,0)</f>
        <v>AA</v>
      </c>
      <c r="B28" t="str">
        <f t="shared" si="0"/>
        <v>Gas_AA</v>
      </c>
      <c r="C28" t="str">
        <f t="shared" si="1"/>
        <v>Ref_AA</v>
      </c>
    </row>
    <row r="29" spans="1:3" x14ac:dyDescent="0.35">
      <c r="A29" t="str">
        <f t="shared" ref="A29:A53" si="2">+"A"&amp;TEXT(A3,0)</f>
        <v>AB</v>
      </c>
      <c r="B29" t="str">
        <f t="shared" si="0"/>
        <v>Gas_AB</v>
      </c>
      <c r="C29" t="str">
        <f t="shared" si="1"/>
        <v>Ref_AB</v>
      </c>
    </row>
    <row r="30" spans="1:3" x14ac:dyDescent="0.35">
      <c r="A30" t="str">
        <f t="shared" si="2"/>
        <v>AC</v>
      </c>
      <c r="B30" t="str">
        <f t="shared" si="0"/>
        <v>Gas_AC</v>
      </c>
      <c r="C30" t="str">
        <f t="shared" si="1"/>
        <v>Ref_AC</v>
      </c>
    </row>
    <row r="31" spans="1:3" x14ac:dyDescent="0.35">
      <c r="A31" t="str">
        <f t="shared" si="2"/>
        <v>AD</v>
      </c>
      <c r="B31" t="str">
        <f t="shared" si="0"/>
        <v>Gas_AD</v>
      </c>
      <c r="C31" t="str">
        <f t="shared" si="1"/>
        <v>Ref_AD</v>
      </c>
    </row>
    <row r="32" spans="1:3" x14ac:dyDescent="0.35">
      <c r="A32" t="str">
        <f t="shared" si="2"/>
        <v>AE</v>
      </c>
      <c r="B32" t="str">
        <f t="shared" si="0"/>
        <v>Gas_AE</v>
      </c>
      <c r="C32" t="str">
        <f t="shared" si="1"/>
        <v>Ref_AE</v>
      </c>
    </row>
    <row r="33" spans="1:3" x14ac:dyDescent="0.35">
      <c r="A33" t="str">
        <f t="shared" si="2"/>
        <v>AF</v>
      </c>
      <c r="B33" t="str">
        <f t="shared" si="0"/>
        <v>Gas_AF</v>
      </c>
      <c r="C33" t="str">
        <f t="shared" si="1"/>
        <v>Ref_AF</v>
      </c>
    </row>
    <row r="34" spans="1:3" x14ac:dyDescent="0.35">
      <c r="A34" t="str">
        <f t="shared" si="2"/>
        <v>AG</v>
      </c>
      <c r="B34" t="str">
        <f t="shared" si="0"/>
        <v>Gas_AG</v>
      </c>
      <c r="C34" t="str">
        <f t="shared" si="1"/>
        <v>Ref_AG</v>
      </c>
    </row>
    <row r="35" spans="1:3" x14ac:dyDescent="0.35">
      <c r="A35" t="str">
        <f t="shared" si="2"/>
        <v>AH</v>
      </c>
      <c r="B35" t="str">
        <f t="shared" si="0"/>
        <v>Gas_AH</v>
      </c>
      <c r="C35" t="str">
        <f t="shared" si="1"/>
        <v>Ref_AH</v>
      </c>
    </row>
    <row r="36" spans="1:3" x14ac:dyDescent="0.35">
      <c r="A36" t="str">
        <f t="shared" si="2"/>
        <v>AI</v>
      </c>
      <c r="B36" t="str">
        <f t="shared" si="0"/>
        <v>Gas_AI</v>
      </c>
      <c r="C36" t="str">
        <f t="shared" si="1"/>
        <v>Ref_AI</v>
      </c>
    </row>
    <row r="37" spans="1:3" x14ac:dyDescent="0.35">
      <c r="A37" t="str">
        <f t="shared" si="2"/>
        <v>AJ</v>
      </c>
      <c r="B37" t="str">
        <f t="shared" si="0"/>
        <v>Gas_AJ</v>
      </c>
      <c r="C37" t="str">
        <f t="shared" si="1"/>
        <v>Ref_AJ</v>
      </c>
    </row>
    <row r="38" spans="1:3" x14ac:dyDescent="0.35">
      <c r="A38" t="str">
        <f t="shared" si="2"/>
        <v>AK</v>
      </c>
      <c r="B38" t="str">
        <f t="shared" si="0"/>
        <v>Gas_AK</v>
      </c>
      <c r="C38" t="str">
        <f t="shared" si="1"/>
        <v>Ref_AK</v>
      </c>
    </row>
    <row r="39" spans="1:3" x14ac:dyDescent="0.35">
      <c r="A39" t="str">
        <f t="shared" si="2"/>
        <v>AL</v>
      </c>
      <c r="B39" t="str">
        <f t="shared" si="0"/>
        <v>Gas_AL</v>
      </c>
      <c r="C39" t="str">
        <f t="shared" si="1"/>
        <v>Ref_AL</v>
      </c>
    </row>
    <row r="40" spans="1:3" x14ac:dyDescent="0.35">
      <c r="A40" t="str">
        <f t="shared" si="2"/>
        <v>AM</v>
      </c>
      <c r="B40" t="str">
        <f t="shared" si="0"/>
        <v>Gas_AM</v>
      </c>
      <c r="C40" t="str">
        <f t="shared" si="1"/>
        <v>Ref_AM</v>
      </c>
    </row>
    <row r="41" spans="1:3" x14ac:dyDescent="0.35">
      <c r="A41" t="str">
        <f t="shared" si="2"/>
        <v>AN</v>
      </c>
      <c r="B41" t="str">
        <f t="shared" si="0"/>
        <v>Gas_AN</v>
      </c>
      <c r="C41" t="str">
        <f t="shared" si="1"/>
        <v>Ref_AN</v>
      </c>
    </row>
    <row r="42" spans="1:3" x14ac:dyDescent="0.35">
      <c r="A42" t="str">
        <f t="shared" si="2"/>
        <v>AO</v>
      </c>
      <c r="B42" t="str">
        <f t="shared" si="0"/>
        <v>Gas_AO</v>
      </c>
      <c r="C42" t="str">
        <f t="shared" si="1"/>
        <v>Ref_AO</v>
      </c>
    </row>
    <row r="43" spans="1:3" x14ac:dyDescent="0.35">
      <c r="A43" t="str">
        <f t="shared" si="2"/>
        <v>AP</v>
      </c>
      <c r="B43" t="str">
        <f t="shared" si="0"/>
        <v>Gas_AP</v>
      </c>
      <c r="C43" t="str">
        <f t="shared" si="1"/>
        <v>Ref_AP</v>
      </c>
    </row>
    <row r="44" spans="1:3" x14ac:dyDescent="0.35">
      <c r="A44" t="str">
        <f t="shared" si="2"/>
        <v>AQ</v>
      </c>
      <c r="B44" t="str">
        <f t="shared" si="0"/>
        <v>Gas_AQ</v>
      </c>
      <c r="C44" t="str">
        <f t="shared" si="1"/>
        <v>Ref_AQ</v>
      </c>
    </row>
    <row r="45" spans="1:3" x14ac:dyDescent="0.35">
      <c r="A45" t="str">
        <f t="shared" si="2"/>
        <v>AR</v>
      </c>
      <c r="B45" t="str">
        <f t="shared" si="0"/>
        <v>Gas_AR</v>
      </c>
      <c r="C45" t="str">
        <f t="shared" si="1"/>
        <v>Ref_AR</v>
      </c>
    </row>
    <row r="46" spans="1:3" x14ac:dyDescent="0.35">
      <c r="A46" t="str">
        <f>+"A"&amp;TEXT(A20,0)</f>
        <v>AS</v>
      </c>
      <c r="B46" t="str">
        <f t="shared" si="0"/>
        <v>Gas_AS</v>
      </c>
      <c r="C46" t="str">
        <f t="shared" si="1"/>
        <v>Ref_AS</v>
      </c>
    </row>
    <row r="47" spans="1:3" x14ac:dyDescent="0.35">
      <c r="A47" t="str">
        <f t="shared" si="2"/>
        <v>AT</v>
      </c>
      <c r="B47" t="str">
        <f t="shared" si="0"/>
        <v>Gas_AT</v>
      </c>
      <c r="C47" t="str">
        <f t="shared" si="1"/>
        <v>Ref_AT</v>
      </c>
    </row>
    <row r="48" spans="1:3" x14ac:dyDescent="0.35">
      <c r="A48" t="str">
        <f t="shared" si="2"/>
        <v>AU</v>
      </c>
      <c r="B48" t="str">
        <f t="shared" si="0"/>
        <v>Gas_AU</v>
      </c>
      <c r="C48" t="str">
        <f t="shared" si="1"/>
        <v>Ref_AU</v>
      </c>
    </row>
    <row r="49" spans="1:3" x14ac:dyDescent="0.35">
      <c r="A49" t="str">
        <f t="shared" si="2"/>
        <v>AV</v>
      </c>
      <c r="B49" t="str">
        <f t="shared" si="0"/>
        <v>Gas_AV</v>
      </c>
      <c r="C49" t="str">
        <f t="shared" si="1"/>
        <v>Ref_AV</v>
      </c>
    </row>
    <row r="50" spans="1:3" x14ac:dyDescent="0.35">
      <c r="A50" t="str">
        <f t="shared" si="2"/>
        <v>AW</v>
      </c>
      <c r="B50" t="str">
        <f t="shared" si="0"/>
        <v>Gas_AW</v>
      </c>
      <c r="C50" t="str">
        <f t="shared" si="1"/>
        <v>Ref_AW</v>
      </c>
    </row>
    <row r="51" spans="1:3" x14ac:dyDescent="0.35">
      <c r="A51" t="str">
        <f t="shared" si="2"/>
        <v>AX</v>
      </c>
      <c r="B51" t="str">
        <f t="shared" si="0"/>
        <v>Gas_AX</v>
      </c>
      <c r="C51" t="str">
        <f t="shared" si="1"/>
        <v>Ref_AX</v>
      </c>
    </row>
    <row r="52" spans="1:3" x14ac:dyDescent="0.35">
      <c r="A52" t="str">
        <f t="shared" si="2"/>
        <v>AY</v>
      </c>
      <c r="B52" t="str">
        <f t="shared" si="0"/>
        <v>Gas_AY</v>
      </c>
      <c r="C52" t="str">
        <f t="shared" si="1"/>
        <v>Ref_AY</v>
      </c>
    </row>
    <row r="53" spans="1:3" x14ac:dyDescent="0.35">
      <c r="A53" t="str">
        <f t="shared" si="2"/>
        <v>AZ</v>
      </c>
      <c r="B53" t="str">
        <f t="shared" si="0"/>
        <v>Gas_AZ</v>
      </c>
      <c r="C53" t="str">
        <f t="shared" si="1"/>
        <v>Ref_AZ</v>
      </c>
    </row>
    <row r="54" spans="1:3" x14ac:dyDescent="0.35">
      <c r="A54" t="str">
        <f>+"B"&amp;TEXT(A2,0)</f>
        <v>BA</v>
      </c>
      <c r="B54" t="str">
        <f t="shared" si="0"/>
        <v>Gas_BA</v>
      </c>
      <c r="C54" t="str">
        <f t="shared" si="1"/>
        <v>Ref_BA</v>
      </c>
    </row>
    <row r="55" spans="1:3" x14ac:dyDescent="0.35">
      <c r="A55" t="str">
        <f t="shared" ref="A55:A79" si="3">+"B"&amp;TEXT(A3,0)</f>
        <v>BB</v>
      </c>
      <c r="B55" t="str">
        <f t="shared" si="0"/>
        <v>Gas_BB</v>
      </c>
      <c r="C55" t="str">
        <f t="shared" si="1"/>
        <v>Ref_BB</v>
      </c>
    </row>
    <row r="56" spans="1:3" x14ac:dyDescent="0.35">
      <c r="A56" t="str">
        <f t="shared" si="3"/>
        <v>BC</v>
      </c>
      <c r="B56" t="str">
        <f t="shared" si="0"/>
        <v>Gas_BC</v>
      </c>
      <c r="C56" t="str">
        <f t="shared" si="1"/>
        <v>Ref_BC</v>
      </c>
    </row>
    <row r="57" spans="1:3" x14ac:dyDescent="0.35">
      <c r="A57" t="str">
        <f t="shared" si="3"/>
        <v>BD</v>
      </c>
      <c r="B57" t="str">
        <f t="shared" si="0"/>
        <v>Gas_BD</v>
      </c>
      <c r="C57" t="str">
        <f t="shared" si="1"/>
        <v>Ref_BD</v>
      </c>
    </row>
    <row r="58" spans="1:3" x14ac:dyDescent="0.35">
      <c r="A58" t="str">
        <f t="shared" si="3"/>
        <v>BE</v>
      </c>
      <c r="B58" t="str">
        <f t="shared" si="0"/>
        <v>Gas_BE</v>
      </c>
      <c r="C58" t="str">
        <f t="shared" si="1"/>
        <v>Ref_BE</v>
      </c>
    </row>
    <row r="59" spans="1:3" x14ac:dyDescent="0.35">
      <c r="A59" t="str">
        <f t="shared" si="3"/>
        <v>BF</v>
      </c>
      <c r="B59" t="str">
        <f t="shared" si="0"/>
        <v>Gas_BF</v>
      </c>
      <c r="C59" t="str">
        <f t="shared" si="1"/>
        <v>Ref_BF</v>
      </c>
    </row>
    <row r="60" spans="1:3" x14ac:dyDescent="0.35">
      <c r="A60" t="str">
        <f t="shared" si="3"/>
        <v>BG</v>
      </c>
      <c r="B60" t="str">
        <f t="shared" si="0"/>
        <v>Gas_BG</v>
      </c>
      <c r="C60" t="str">
        <f t="shared" si="1"/>
        <v>Ref_BG</v>
      </c>
    </row>
    <row r="61" spans="1:3" x14ac:dyDescent="0.35">
      <c r="A61" t="str">
        <f t="shared" si="3"/>
        <v>BH</v>
      </c>
      <c r="B61" t="str">
        <f t="shared" si="0"/>
        <v>Gas_BH</v>
      </c>
      <c r="C61" t="str">
        <f t="shared" si="1"/>
        <v>Ref_BH</v>
      </c>
    </row>
    <row r="62" spans="1:3" x14ac:dyDescent="0.35">
      <c r="A62" t="str">
        <f t="shared" si="3"/>
        <v>BI</v>
      </c>
      <c r="B62" t="str">
        <f t="shared" si="0"/>
        <v>Gas_BI</v>
      </c>
      <c r="C62" t="str">
        <f t="shared" si="1"/>
        <v>Ref_BI</v>
      </c>
    </row>
    <row r="63" spans="1:3" x14ac:dyDescent="0.35">
      <c r="A63" t="str">
        <f t="shared" si="3"/>
        <v>BJ</v>
      </c>
      <c r="B63" t="str">
        <f t="shared" si="0"/>
        <v>Gas_BJ</v>
      </c>
      <c r="C63" t="str">
        <f t="shared" si="1"/>
        <v>Ref_BJ</v>
      </c>
    </row>
    <row r="64" spans="1:3" x14ac:dyDescent="0.35">
      <c r="A64" t="str">
        <f t="shared" si="3"/>
        <v>BK</v>
      </c>
      <c r="B64" t="str">
        <f t="shared" si="0"/>
        <v>Gas_BK</v>
      </c>
      <c r="C64" t="str">
        <f t="shared" si="1"/>
        <v>Ref_BK</v>
      </c>
    </row>
    <row r="65" spans="1:3" x14ac:dyDescent="0.35">
      <c r="A65" t="str">
        <f t="shared" si="3"/>
        <v>BL</v>
      </c>
      <c r="B65" t="str">
        <f t="shared" si="0"/>
        <v>Gas_BL</v>
      </c>
      <c r="C65" t="str">
        <f t="shared" si="1"/>
        <v>Ref_BL</v>
      </c>
    </row>
    <row r="66" spans="1:3" x14ac:dyDescent="0.35">
      <c r="A66" t="str">
        <f t="shared" si="3"/>
        <v>BM</v>
      </c>
      <c r="B66" t="str">
        <f t="shared" si="0"/>
        <v>Gas_BM</v>
      </c>
      <c r="C66" t="str">
        <f t="shared" si="1"/>
        <v>Ref_BM</v>
      </c>
    </row>
    <row r="67" spans="1:3" x14ac:dyDescent="0.35">
      <c r="A67" t="str">
        <f t="shared" si="3"/>
        <v>BN</v>
      </c>
      <c r="B67" t="str">
        <f t="shared" ref="B67:B95" si="4">+B$1&amp;"_"&amp;A67</f>
        <v>Gas_BN</v>
      </c>
      <c r="C67" t="str">
        <f t="shared" ref="C67:C95" si="5">+C$1&amp;"_"&amp;$A67</f>
        <v>Ref_BN</v>
      </c>
    </row>
    <row r="68" spans="1:3" x14ac:dyDescent="0.35">
      <c r="A68" t="str">
        <f t="shared" si="3"/>
        <v>BO</v>
      </c>
      <c r="B68" t="str">
        <f t="shared" si="4"/>
        <v>Gas_BO</v>
      </c>
      <c r="C68" t="str">
        <f t="shared" si="5"/>
        <v>Ref_BO</v>
      </c>
    </row>
    <row r="69" spans="1:3" x14ac:dyDescent="0.35">
      <c r="A69" t="str">
        <f t="shared" si="3"/>
        <v>BP</v>
      </c>
      <c r="B69" t="str">
        <f t="shared" si="4"/>
        <v>Gas_BP</v>
      </c>
      <c r="C69" t="str">
        <f t="shared" si="5"/>
        <v>Ref_BP</v>
      </c>
    </row>
    <row r="70" spans="1:3" x14ac:dyDescent="0.35">
      <c r="A70" t="str">
        <f t="shared" si="3"/>
        <v>BQ</v>
      </c>
      <c r="B70" t="str">
        <f t="shared" si="4"/>
        <v>Gas_BQ</v>
      </c>
      <c r="C70" t="str">
        <f t="shared" si="5"/>
        <v>Ref_BQ</v>
      </c>
    </row>
    <row r="71" spans="1:3" x14ac:dyDescent="0.35">
      <c r="A71" t="str">
        <f t="shared" si="3"/>
        <v>BR</v>
      </c>
      <c r="B71" t="str">
        <f t="shared" si="4"/>
        <v>Gas_BR</v>
      </c>
      <c r="C71" t="str">
        <f t="shared" si="5"/>
        <v>Ref_BR</v>
      </c>
    </row>
    <row r="72" spans="1:3" x14ac:dyDescent="0.35">
      <c r="A72" t="str">
        <f t="shared" si="3"/>
        <v>BS</v>
      </c>
      <c r="B72" t="str">
        <f t="shared" si="4"/>
        <v>Gas_BS</v>
      </c>
      <c r="C72" t="str">
        <f t="shared" si="5"/>
        <v>Ref_BS</v>
      </c>
    </row>
    <row r="73" spans="1:3" x14ac:dyDescent="0.35">
      <c r="A73" t="str">
        <f t="shared" si="3"/>
        <v>BT</v>
      </c>
      <c r="B73" t="str">
        <f t="shared" si="4"/>
        <v>Gas_BT</v>
      </c>
      <c r="C73" t="str">
        <f t="shared" si="5"/>
        <v>Ref_BT</v>
      </c>
    </row>
    <row r="74" spans="1:3" x14ac:dyDescent="0.35">
      <c r="A74" t="str">
        <f t="shared" si="3"/>
        <v>BU</v>
      </c>
      <c r="B74" t="str">
        <f t="shared" si="4"/>
        <v>Gas_BU</v>
      </c>
      <c r="C74" t="str">
        <f t="shared" si="5"/>
        <v>Ref_BU</v>
      </c>
    </row>
    <row r="75" spans="1:3" x14ac:dyDescent="0.35">
      <c r="A75" t="str">
        <f t="shared" si="3"/>
        <v>BV</v>
      </c>
      <c r="B75" t="str">
        <f t="shared" si="4"/>
        <v>Gas_BV</v>
      </c>
      <c r="C75" t="str">
        <f t="shared" si="5"/>
        <v>Ref_BV</v>
      </c>
    </row>
    <row r="76" spans="1:3" x14ac:dyDescent="0.35">
      <c r="A76" t="str">
        <f t="shared" si="3"/>
        <v>BW</v>
      </c>
      <c r="B76" t="str">
        <f t="shared" si="4"/>
        <v>Gas_BW</v>
      </c>
      <c r="C76" t="str">
        <f t="shared" si="5"/>
        <v>Ref_BW</v>
      </c>
    </row>
    <row r="77" spans="1:3" x14ac:dyDescent="0.35">
      <c r="A77" t="str">
        <f t="shared" si="3"/>
        <v>BX</v>
      </c>
      <c r="B77" t="str">
        <f t="shared" si="4"/>
        <v>Gas_BX</v>
      </c>
      <c r="C77" t="str">
        <f t="shared" si="5"/>
        <v>Ref_BX</v>
      </c>
    </row>
    <row r="78" spans="1:3" x14ac:dyDescent="0.35">
      <c r="A78" t="str">
        <f t="shared" si="3"/>
        <v>BY</v>
      </c>
      <c r="B78" t="str">
        <f t="shared" si="4"/>
        <v>Gas_BY</v>
      </c>
      <c r="C78" t="str">
        <f t="shared" si="5"/>
        <v>Ref_BY</v>
      </c>
    </row>
    <row r="79" spans="1:3" x14ac:dyDescent="0.35">
      <c r="A79" t="str">
        <f t="shared" si="3"/>
        <v>BZ</v>
      </c>
      <c r="B79" t="str">
        <f t="shared" si="4"/>
        <v>Gas_BZ</v>
      </c>
      <c r="C79" t="str">
        <f t="shared" si="5"/>
        <v>Ref_BZ</v>
      </c>
    </row>
    <row r="80" spans="1:3" x14ac:dyDescent="0.35">
      <c r="A80" t="str">
        <f>+"C"&amp;TEXT(A2,0)</f>
        <v>CA</v>
      </c>
      <c r="B80" t="str">
        <f t="shared" si="4"/>
        <v>Gas_CA</v>
      </c>
      <c r="C80" t="str">
        <f t="shared" si="5"/>
        <v>Ref_CA</v>
      </c>
    </row>
    <row r="81" spans="1:3" x14ac:dyDescent="0.35">
      <c r="A81" t="str">
        <f t="shared" ref="A81:A105" si="6">+"C"&amp;TEXT(A3,0)</f>
        <v>CB</v>
      </c>
      <c r="B81" t="str">
        <f t="shared" si="4"/>
        <v>Gas_CB</v>
      </c>
      <c r="C81" t="str">
        <f t="shared" si="5"/>
        <v>Ref_CB</v>
      </c>
    </row>
    <row r="82" spans="1:3" x14ac:dyDescent="0.35">
      <c r="A82" t="str">
        <f t="shared" si="6"/>
        <v>CC</v>
      </c>
      <c r="B82" t="str">
        <f t="shared" si="4"/>
        <v>Gas_CC</v>
      </c>
      <c r="C82" t="str">
        <f t="shared" si="5"/>
        <v>Ref_CC</v>
      </c>
    </row>
    <row r="83" spans="1:3" x14ac:dyDescent="0.35">
      <c r="A83" t="str">
        <f t="shared" si="6"/>
        <v>CD</v>
      </c>
      <c r="B83" t="str">
        <f t="shared" si="4"/>
        <v>Gas_CD</v>
      </c>
      <c r="C83" t="str">
        <f t="shared" si="5"/>
        <v>Ref_CD</v>
      </c>
    </row>
    <row r="84" spans="1:3" x14ac:dyDescent="0.35">
      <c r="A84" t="str">
        <f t="shared" si="6"/>
        <v>CE</v>
      </c>
      <c r="B84" t="str">
        <f t="shared" si="4"/>
        <v>Gas_CE</v>
      </c>
      <c r="C84" t="str">
        <f t="shared" si="5"/>
        <v>Ref_CE</v>
      </c>
    </row>
    <row r="85" spans="1:3" x14ac:dyDescent="0.35">
      <c r="A85" t="str">
        <f t="shared" si="6"/>
        <v>CF</v>
      </c>
      <c r="B85" t="str">
        <f t="shared" si="4"/>
        <v>Gas_CF</v>
      </c>
      <c r="C85" t="str">
        <f t="shared" si="5"/>
        <v>Ref_CF</v>
      </c>
    </row>
    <row r="86" spans="1:3" x14ac:dyDescent="0.35">
      <c r="A86" t="str">
        <f t="shared" si="6"/>
        <v>CG</v>
      </c>
      <c r="B86" t="str">
        <f t="shared" si="4"/>
        <v>Gas_CG</v>
      </c>
      <c r="C86" t="str">
        <f t="shared" si="5"/>
        <v>Ref_CG</v>
      </c>
    </row>
    <row r="87" spans="1:3" x14ac:dyDescent="0.35">
      <c r="A87" t="str">
        <f t="shared" si="6"/>
        <v>CH</v>
      </c>
      <c r="B87" t="str">
        <f t="shared" si="4"/>
        <v>Gas_CH</v>
      </c>
      <c r="C87" t="str">
        <f t="shared" si="5"/>
        <v>Ref_CH</v>
      </c>
    </row>
    <row r="88" spans="1:3" x14ac:dyDescent="0.35">
      <c r="A88" t="str">
        <f t="shared" si="6"/>
        <v>CI</v>
      </c>
      <c r="B88" t="str">
        <f t="shared" si="4"/>
        <v>Gas_CI</v>
      </c>
      <c r="C88" t="str">
        <f t="shared" si="5"/>
        <v>Ref_CI</v>
      </c>
    </row>
    <row r="89" spans="1:3" x14ac:dyDescent="0.35">
      <c r="A89" t="str">
        <f t="shared" si="6"/>
        <v>CJ</v>
      </c>
      <c r="B89" t="str">
        <f t="shared" si="4"/>
        <v>Gas_CJ</v>
      </c>
      <c r="C89" t="str">
        <f t="shared" si="5"/>
        <v>Ref_CJ</v>
      </c>
    </row>
    <row r="90" spans="1:3" x14ac:dyDescent="0.35">
      <c r="A90" t="str">
        <f t="shared" si="6"/>
        <v>CK</v>
      </c>
      <c r="B90" t="str">
        <f t="shared" si="4"/>
        <v>Gas_CK</v>
      </c>
      <c r="C90" t="str">
        <f t="shared" si="5"/>
        <v>Ref_CK</v>
      </c>
    </row>
    <row r="91" spans="1:3" x14ac:dyDescent="0.35">
      <c r="A91" t="str">
        <f t="shared" si="6"/>
        <v>CL</v>
      </c>
      <c r="B91" t="str">
        <f t="shared" si="4"/>
        <v>Gas_CL</v>
      </c>
      <c r="C91" t="str">
        <f t="shared" si="5"/>
        <v>Ref_CL</v>
      </c>
    </row>
    <row r="92" spans="1:3" x14ac:dyDescent="0.35">
      <c r="A92" t="str">
        <f t="shared" si="6"/>
        <v>CM</v>
      </c>
      <c r="B92" t="str">
        <f t="shared" si="4"/>
        <v>Gas_CM</v>
      </c>
      <c r="C92" t="str">
        <f t="shared" si="5"/>
        <v>Ref_CM</v>
      </c>
    </row>
    <row r="93" spans="1:3" x14ac:dyDescent="0.35">
      <c r="A93" t="str">
        <f t="shared" si="6"/>
        <v>CN</v>
      </c>
      <c r="B93" t="str">
        <f t="shared" si="4"/>
        <v>Gas_CN</v>
      </c>
      <c r="C93" t="str">
        <f t="shared" si="5"/>
        <v>Ref_CN</v>
      </c>
    </row>
    <row r="94" spans="1:3" x14ac:dyDescent="0.35">
      <c r="A94" t="str">
        <f t="shared" si="6"/>
        <v>CO</v>
      </c>
      <c r="B94" t="str">
        <f t="shared" si="4"/>
        <v>Gas_CO</v>
      </c>
      <c r="C94" t="str">
        <f t="shared" si="5"/>
        <v>Ref_CO</v>
      </c>
    </row>
    <row r="95" spans="1:3" x14ac:dyDescent="0.35">
      <c r="A95" t="str">
        <f t="shared" si="6"/>
        <v>CP</v>
      </c>
      <c r="B95" t="str">
        <f t="shared" si="4"/>
        <v>Gas_CP</v>
      </c>
      <c r="C95" t="str">
        <f t="shared" si="5"/>
        <v>Ref_CP</v>
      </c>
    </row>
    <row r="96" spans="1:3" x14ac:dyDescent="0.35">
      <c r="A96" t="str">
        <f t="shared" si="6"/>
        <v>CQ</v>
      </c>
    </row>
    <row r="97" spans="1:1" x14ac:dyDescent="0.35">
      <c r="A97" t="str">
        <f t="shared" si="6"/>
        <v>CR</v>
      </c>
    </row>
    <row r="98" spans="1:1" x14ac:dyDescent="0.35">
      <c r="A98" t="str">
        <f t="shared" si="6"/>
        <v>CS</v>
      </c>
    </row>
    <row r="99" spans="1:1" x14ac:dyDescent="0.35">
      <c r="A99" t="str">
        <f t="shared" si="6"/>
        <v>CT</v>
      </c>
    </row>
    <row r="100" spans="1:1" x14ac:dyDescent="0.35">
      <c r="A100" t="str">
        <f t="shared" si="6"/>
        <v>CU</v>
      </c>
    </row>
    <row r="101" spans="1:1" x14ac:dyDescent="0.35">
      <c r="A101" t="str">
        <f t="shared" si="6"/>
        <v>CV</v>
      </c>
    </row>
    <row r="102" spans="1:1" x14ac:dyDescent="0.35">
      <c r="A102" t="str">
        <f t="shared" si="6"/>
        <v>CW</v>
      </c>
    </row>
    <row r="103" spans="1:1" x14ac:dyDescent="0.35">
      <c r="A103" t="str">
        <f t="shared" si="6"/>
        <v>CX</v>
      </c>
    </row>
    <row r="104" spans="1:1" x14ac:dyDescent="0.35">
      <c r="A104" t="str">
        <f t="shared" si="6"/>
        <v>CY</v>
      </c>
    </row>
    <row r="105" spans="1:1" x14ac:dyDescent="0.35">
      <c r="A105" t="str">
        <f t="shared" si="6"/>
        <v>CZ</v>
      </c>
    </row>
    <row r="106" spans="1:1" x14ac:dyDescent="0.35">
      <c r="A106" t="str">
        <f>+"D"&amp;TEXT(A2,0)</f>
        <v>DA</v>
      </c>
    </row>
    <row r="107" spans="1:1" x14ac:dyDescent="0.35">
      <c r="A107" t="str">
        <f t="shared" ref="A107:A130" si="7">+"D"&amp;TEXT(A3,0)</f>
        <v>DB</v>
      </c>
    </row>
    <row r="108" spans="1:1" x14ac:dyDescent="0.35">
      <c r="A108" t="str">
        <f t="shared" si="7"/>
        <v>DC</v>
      </c>
    </row>
    <row r="109" spans="1:1" x14ac:dyDescent="0.35">
      <c r="A109" t="str">
        <f t="shared" si="7"/>
        <v>DD</v>
      </c>
    </row>
    <row r="110" spans="1:1" x14ac:dyDescent="0.35">
      <c r="A110" t="str">
        <f t="shared" si="7"/>
        <v>DE</v>
      </c>
    </row>
    <row r="111" spans="1:1" x14ac:dyDescent="0.35">
      <c r="A111" t="str">
        <f t="shared" si="7"/>
        <v>DF</v>
      </c>
    </row>
    <row r="112" spans="1:1" x14ac:dyDescent="0.35">
      <c r="A112" t="str">
        <f t="shared" si="7"/>
        <v>DG</v>
      </c>
    </row>
    <row r="113" spans="1:1" x14ac:dyDescent="0.35">
      <c r="A113" t="str">
        <f t="shared" si="7"/>
        <v>DH</v>
      </c>
    </row>
    <row r="114" spans="1:1" x14ac:dyDescent="0.35">
      <c r="A114" t="str">
        <f t="shared" si="7"/>
        <v>DI</v>
      </c>
    </row>
    <row r="115" spans="1:1" x14ac:dyDescent="0.35">
      <c r="A115" t="str">
        <f t="shared" si="7"/>
        <v>DJ</v>
      </c>
    </row>
    <row r="116" spans="1:1" x14ac:dyDescent="0.35">
      <c r="A116" t="str">
        <f t="shared" si="7"/>
        <v>DK</v>
      </c>
    </row>
    <row r="117" spans="1:1" x14ac:dyDescent="0.35">
      <c r="A117" t="str">
        <f t="shared" si="7"/>
        <v>DL</v>
      </c>
    </row>
    <row r="118" spans="1:1" x14ac:dyDescent="0.35">
      <c r="A118" t="str">
        <f t="shared" si="7"/>
        <v>DM</v>
      </c>
    </row>
    <row r="119" spans="1:1" x14ac:dyDescent="0.35">
      <c r="A119" t="str">
        <f t="shared" si="7"/>
        <v>DN</v>
      </c>
    </row>
    <row r="120" spans="1:1" x14ac:dyDescent="0.35">
      <c r="A120" t="str">
        <f t="shared" si="7"/>
        <v>DO</v>
      </c>
    </row>
    <row r="121" spans="1:1" x14ac:dyDescent="0.35">
      <c r="A121" t="str">
        <f t="shared" si="7"/>
        <v>DP</v>
      </c>
    </row>
    <row r="122" spans="1:1" x14ac:dyDescent="0.35">
      <c r="A122" t="str">
        <f t="shared" si="7"/>
        <v>DQ</v>
      </c>
    </row>
    <row r="123" spans="1:1" x14ac:dyDescent="0.35">
      <c r="A123" t="str">
        <f t="shared" si="7"/>
        <v>DR</v>
      </c>
    </row>
    <row r="124" spans="1:1" x14ac:dyDescent="0.35">
      <c r="A124" t="str">
        <f t="shared" si="7"/>
        <v>DS</v>
      </c>
    </row>
    <row r="125" spans="1:1" x14ac:dyDescent="0.35">
      <c r="A125" t="str">
        <f>+"D"&amp;TEXT(A21,0)</f>
        <v>DT</v>
      </c>
    </row>
    <row r="126" spans="1:1" x14ac:dyDescent="0.35">
      <c r="A126" t="str">
        <f t="shared" si="7"/>
        <v>DU</v>
      </c>
    </row>
    <row r="127" spans="1:1" x14ac:dyDescent="0.35">
      <c r="A127" t="str">
        <f t="shared" si="7"/>
        <v>DV</v>
      </c>
    </row>
    <row r="128" spans="1:1" x14ac:dyDescent="0.35">
      <c r="A128" t="str">
        <f t="shared" si="7"/>
        <v>DW</v>
      </c>
    </row>
    <row r="129" spans="1:1" x14ac:dyDescent="0.35">
      <c r="A129" t="str">
        <f t="shared" si="7"/>
        <v>DX</v>
      </c>
    </row>
    <row r="130" spans="1:1" x14ac:dyDescent="0.35">
      <c r="A130" t="str">
        <f t="shared" si="7"/>
        <v>DY</v>
      </c>
    </row>
    <row r="131" spans="1:1" x14ac:dyDescent="0.35">
      <c r="A131" t="str">
        <f>+"D"&amp;TEXT(A27,0)</f>
        <v>DZ</v>
      </c>
    </row>
    <row r="132" spans="1:1" x14ac:dyDescent="0.35">
      <c r="A132" t="str">
        <f>+"E"&amp;TEXT(A2,0)</f>
        <v>EA</v>
      </c>
    </row>
    <row r="133" spans="1:1" x14ac:dyDescent="0.35">
      <c r="A133" t="str">
        <f t="shared" ref="A133:A156" si="8">+"E"&amp;TEXT(A3,0)</f>
        <v>EB</v>
      </c>
    </row>
    <row r="134" spans="1:1" x14ac:dyDescent="0.35">
      <c r="A134" t="str">
        <f t="shared" si="8"/>
        <v>EC</v>
      </c>
    </row>
    <row r="135" spans="1:1" x14ac:dyDescent="0.35">
      <c r="A135" t="str">
        <f t="shared" si="8"/>
        <v>ED</v>
      </c>
    </row>
    <row r="136" spans="1:1" x14ac:dyDescent="0.35">
      <c r="A136" t="str">
        <f t="shared" si="8"/>
        <v>EE</v>
      </c>
    </row>
    <row r="137" spans="1:1" x14ac:dyDescent="0.35">
      <c r="A137" t="str">
        <f t="shared" si="8"/>
        <v>EF</v>
      </c>
    </row>
    <row r="138" spans="1:1" x14ac:dyDescent="0.35">
      <c r="A138" t="str">
        <f t="shared" si="8"/>
        <v>EG</v>
      </c>
    </row>
    <row r="139" spans="1:1" x14ac:dyDescent="0.35">
      <c r="A139" t="str">
        <f t="shared" si="8"/>
        <v>EH</v>
      </c>
    </row>
    <row r="140" spans="1:1" x14ac:dyDescent="0.35">
      <c r="A140" t="str">
        <f t="shared" si="8"/>
        <v>EI</v>
      </c>
    </row>
    <row r="141" spans="1:1" x14ac:dyDescent="0.35">
      <c r="A141" t="str">
        <f t="shared" si="8"/>
        <v>EJ</v>
      </c>
    </row>
    <row r="142" spans="1:1" x14ac:dyDescent="0.35">
      <c r="A142" t="str">
        <f t="shared" si="8"/>
        <v>EK</v>
      </c>
    </row>
    <row r="143" spans="1:1" x14ac:dyDescent="0.35">
      <c r="A143" t="str">
        <f t="shared" si="8"/>
        <v>EL</v>
      </c>
    </row>
    <row r="144" spans="1:1" x14ac:dyDescent="0.35">
      <c r="A144" t="str">
        <f t="shared" si="8"/>
        <v>EM</v>
      </c>
    </row>
    <row r="145" spans="1:1" x14ac:dyDescent="0.35">
      <c r="A145" t="str">
        <f t="shared" si="8"/>
        <v>EN</v>
      </c>
    </row>
    <row r="146" spans="1:1" x14ac:dyDescent="0.35">
      <c r="A146" t="str">
        <f t="shared" si="8"/>
        <v>EO</v>
      </c>
    </row>
    <row r="147" spans="1:1" x14ac:dyDescent="0.35">
      <c r="A147" t="str">
        <f t="shared" si="8"/>
        <v>EP</v>
      </c>
    </row>
    <row r="148" spans="1:1" x14ac:dyDescent="0.35">
      <c r="A148" t="str">
        <f t="shared" si="8"/>
        <v>EQ</v>
      </c>
    </row>
    <row r="149" spans="1:1" x14ac:dyDescent="0.35">
      <c r="A149" t="str">
        <f t="shared" si="8"/>
        <v>ER</v>
      </c>
    </row>
    <row r="150" spans="1:1" x14ac:dyDescent="0.35">
      <c r="A150" t="str">
        <f t="shared" si="8"/>
        <v>ES</v>
      </c>
    </row>
    <row r="151" spans="1:1" x14ac:dyDescent="0.35">
      <c r="A151" t="str">
        <f t="shared" si="8"/>
        <v>ET</v>
      </c>
    </row>
    <row r="152" spans="1:1" x14ac:dyDescent="0.35">
      <c r="A152" t="str">
        <f t="shared" si="8"/>
        <v>EU</v>
      </c>
    </row>
    <row r="153" spans="1:1" x14ac:dyDescent="0.35">
      <c r="A153" t="str">
        <f t="shared" si="8"/>
        <v>EV</v>
      </c>
    </row>
    <row r="154" spans="1:1" x14ac:dyDescent="0.35">
      <c r="A154" t="str">
        <f>+"E"&amp;TEXT(A24,0)</f>
        <v>EW</v>
      </c>
    </row>
    <row r="155" spans="1:1" x14ac:dyDescent="0.35">
      <c r="A155" t="str">
        <f t="shared" si="8"/>
        <v>EX</v>
      </c>
    </row>
    <row r="156" spans="1:1" x14ac:dyDescent="0.35">
      <c r="A156" t="str">
        <f t="shared" si="8"/>
        <v>EY</v>
      </c>
    </row>
    <row r="157" spans="1:1" x14ac:dyDescent="0.35">
      <c r="A157" t="str">
        <f>+"E"&amp;TEXT(A27,0)</f>
        <v>EZ</v>
      </c>
    </row>
    <row r="158" spans="1:1" x14ac:dyDescent="0.35">
      <c r="A158" t="str">
        <f>+"F"&amp;TEXT(A2,0)</f>
        <v>FA</v>
      </c>
    </row>
    <row r="159" spans="1:1" x14ac:dyDescent="0.35">
      <c r="A159" t="str">
        <f t="shared" ref="A159:A183" si="9">+"F"&amp;TEXT(A3,0)</f>
        <v>FB</v>
      </c>
    </row>
    <row r="160" spans="1:1" x14ac:dyDescent="0.35">
      <c r="A160" t="str">
        <f t="shared" si="9"/>
        <v>FC</v>
      </c>
    </row>
    <row r="161" spans="1:1" x14ac:dyDescent="0.35">
      <c r="A161" t="str">
        <f t="shared" si="9"/>
        <v>FD</v>
      </c>
    </row>
    <row r="162" spans="1:1" x14ac:dyDescent="0.35">
      <c r="A162" t="str">
        <f t="shared" si="9"/>
        <v>FE</v>
      </c>
    </row>
    <row r="163" spans="1:1" x14ac:dyDescent="0.35">
      <c r="A163" t="str">
        <f t="shared" si="9"/>
        <v>FF</v>
      </c>
    </row>
    <row r="164" spans="1:1" x14ac:dyDescent="0.35">
      <c r="A164" t="str">
        <f t="shared" si="9"/>
        <v>FG</v>
      </c>
    </row>
    <row r="165" spans="1:1" x14ac:dyDescent="0.35">
      <c r="A165" t="str">
        <f t="shared" si="9"/>
        <v>FH</v>
      </c>
    </row>
    <row r="166" spans="1:1" x14ac:dyDescent="0.35">
      <c r="A166" t="str">
        <f t="shared" si="9"/>
        <v>FI</v>
      </c>
    </row>
    <row r="167" spans="1:1" x14ac:dyDescent="0.35">
      <c r="A167" t="str">
        <f t="shared" si="9"/>
        <v>FJ</v>
      </c>
    </row>
    <row r="168" spans="1:1" x14ac:dyDescent="0.35">
      <c r="A168" t="str">
        <f t="shared" si="9"/>
        <v>FK</v>
      </c>
    </row>
    <row r="169" spans="1:1" x14ac:dyDescent="0.35">
      <c r="A169" t="str">
        <f t="shared" si="9"/>
        <v>FL</v>
      </c>
    </row>
    <row r="170" spans="1:1" x14ac:dyDescent="0.35">
      <c r="A170" t="str">
        <f t="shared" si="9"/>
        <v>FM</v>
      </c>
    </row>
    <row r="171" spans="1:1" x14ac:dyDescent="0.35">
      <c r="A171" t="str">
        <f t="shared" si="9"/>
        <v>FN</v>
      </c>
    </row>
    <row r="172" spans="1:1" x14ac:dyDescent="0.35">
      <c r="A172" t="str">
        <f t="shared" si="9"/>
        <v>FO</v>
      </c>
    </row>
    <row r="173" spans="1:1" x14ac:dyDescent="0.35">
      <c r="A173" t="str">
        <f t="shared" si="9"/>
        <v>FP</v>
      </c>
    </row>
    <row r="174" spans="1:1" x14ac:dyDescent="0.35">
      <c r="A174" t="str">
        <f t="shared" si="9"/>
        <v>FQ</v>
      </c>
    </row>
    <row r="175" spans="1:1" x14ac:dyDescent="0.35">
      <c r="A175" t="str">
        <f t="shared" si="9"/>
        <v>FR</v>
      </c>
    </row>
    <row r="176" spans="1:1" x14ac:dyDescent="0.35">
      <c r="A176" t="str">
        <f t="shared" si="9"/>
        <v>FS</v>
      </c>
    </row>
    <row r="177" spans="1:1" x14ac:dyDescent="0.35">
      <c r="A177" t="str">
        <f t="shared" si="9"/>
        <v>FT</v>
      </c>
    </row>
    <row r="178" spans="1:1" x14ac:dyDescent="0.35">
      <c r="A178" t="str">
        <f t="shared" si="9"/>
        <v>FU</v>
      </c>
    </row>
    <row r="179" spans="1:1" x14ac:dyDescent="0.35">
      <c r="A179" t="str">
        <f t="shared" si="9"/>
        <v>FV</v>
      </c>
    </row>
    <row r="180" spans="1:1" x14ac:dyDescent="0.35">
      <c r="A180" t="str">
        <f t="shared" si="9"/>
        <v>FW</v>
      </c>
    </row>
    <row r="181" spans="1:1" x14ac:dyDescent="0.35">
      <c r="A181" t="str">
        <f t="shared" si="9"/>
        <v>FX</v>
      </c>
    </row>
    <row r="182" spans="1:1" x14ac:dyDescent="0.35">
      <c r="A182" t="str">
        <f t="shared" si="9"/>
        <v>FY</v>
      </c>
    </row>
    <row r="183" spans="1:1" x14ac:dyDescent="0.35">
      <c r="A183" t="str">
        <f t="shared" si="9"/>
        <v>FZ</v>
      </c>
    </row>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0" sqref="O10"/>
    </sheetView>
  </sheetViews>
  <sheetFormatPr defaultRowHeight="14.5" x14ac:dyDescent="0.35"/>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selection activeCell="F8" sqref="F8"/>
    </sheetView>
  </sheetViews>
  <sheetFormatPr defaultRowHeight="14.5" x14ac:dyDescent="0.35"/>
  <cols>
    <col min="1" max="1" width="41.6328125" customWidth="1"/>
    <col min="2" max="3" width="8.7265625" style="25"/>
  </cols>
  <sheetData>
    <row r="1" spans="1:9" x14ac:dyDescent="0.35">
      <c r="A1" t="s">
        <v>1057</v>
      </c>
    </row>
    <row r="2" spans="1:9" x14ac:dyDescent="0.35">
      <c r="A2" t="s">
        <v>101</v>
      </c>
      <c r="B2" s="25">
        <v>0.03</v>
      </c>
      <c r="D2" s="25"/>
    </row>
    <row r="3" spans="1:9" x14ac:dyDescent="0.35">
      <c r="C3" s="25" t="s">
        <v>68</v>
      </c>
      <c r="D3" s="25" t="s">
        <v>71</v>
      </c>
      <c r="E3" t="s">
        <v>68</v>
      </c>
      <c r="F3" s="25" t="s">
        <v>71</v>
      </c>
    </row>
    <row r="4" spans="1:9" x14ac:dyDescent="0.35">
      <c r="C4" s="25" t="s">
        <v>102</v>
      </c>
      <c r="D4" s="25" t="s">
        <v>102</v>
      </c>
      <c r="E4" t="s">
        <v>106</v>
      </c>
      <c r="F4" s="25" t="s">
        <v>106</v>
      </c>
      <c r="G4" s="25" t="s">
        <v>107</v>
      </c>
      <c r="H4" s="25" t="s">
        <v>108</v>
      </c>
      <c r="I4" s="25" t="s">
        <v>69</v>
      </c>
    </row>
    <row r="5" spans="1:9" x14ac:dyDescent="0.35">
      <c r="A5" t="s">
        <v>104</v>
      </c>
      <c r="C5" s="25" t="e">
        <f>+#REF!</f>
        <v>#REF!</v>
      </c>
      <c r="D5" s="25" t="e">
        <f>+#REF!</f>
        <v>#REF!</v>
      </c>
      <c r="E5">
        <v>1.1399999999999999</v>
      </c>
      <c r="F5">
        <v>1.1399999999999999</v>
      </c>
    </row>
    <row r="6" spans="1:9" x14ac:dyDescent="0.35">
      <c r="A6" t="s">
        <v>103</v>
      </c>
      <c r="C6" s="25" t="e">
        <f>+#REF!</f>
        <v>#REF!</v>
      </c>
      <c r="D6" s="25" t="e">
        <f>+#REF!</f>
        <v>#REF!</v>
      </c>
      <c r="E6">
        <v>1.07</v>
      </c>
      <c r="F6">
        <v>1.0900000000000001</v>
      </c>
    </row>
    <row r="7" spans="1:9" x14ac:dyDescent="0.35">
      <c r="A7" t="s">
        <v>105</v>
      </c>
      <c r="C7" s="25" t="e">
        <f>+C5-C6+$B$2</f>
        <v>#REF!</v>
      </c>
      <c r="D7" s="25" t="e">
        <f>+D5-D6+$B$2</f>
        <v>#REF!</v>
      </c>
      <c r="E7" s="25">
        <f t="shared" ref="E7:F7" si="0">+E5-E6+$B$2</f>
        <v>9.9999999999999839E-2</v>
      </c>
      <c r="F7" s="25">
        <f t="shared" si="0"/>
        <v>7.9999999999999821E-2</v>
      </c>
      <c r="G7" s="25" t="e">
        <f>+AVERAGE(C7:D7)</f>
        <v>#REF!</v>
      </c>
      <c r="H7" s="25">
        <f>+AVERAGE(E7:F7)</f>
        <v>8.999999999999983E-2</v>
      </c>
      <c r="I7" s="24" t="e">
        <f>+G7-H7</f>
        <v>#REF!</v>
      </c>
    </row>
    <row r="8" spans="1:9" x14ac:dyDescent="0.35">
      <c r="D8" s="25"/>
      <c r="E8" s="25"/>
      <c r="F8" s="25"/>
      <c r="G8" s="25"/>
      <c r="H8" s="25"/>
      <c r="I8" s="24"/>
    </row>
    <row r="9" spans="1:9" x14ac:dyDescent="0.35">
      <c r="D9" s="25"/>
      <c r="E9" s="25"/>
      <c r="F9" s="25"/>
      <c r="G9" s="25"/>
      <c r="H9" s="25"/>
      <c r="I9" s="24"/>
    </row>
    <row r="10" spans="1:9" x14ac:dyDescent="0.35">
      <c r="A10" s="6" t="s">
        <v>109</v>
      </c>
      <c r="D10" s="25"/>
      <c r="E10" s="25"/>
      <c r="F10" s="25"/>
      <c r="G10" s="25"/>
      <c r="H10" s="25"/>
      <c r="I10" s="24"/>
    </row>
    <row r="11" spans="1:9" x14ac:dyDescent="0.35">
      <c r="A11" t="s">
        <v>111</v>
      </c>
      <c r="D11" s="25"/>
    </row>
    <row r="12" spans="1:9" x14ac:dyDescent="0.35">
      <c r="A12" t="s">
        <v>110</v>
      </c>
      <c r="D12" s="25"/>
    </row>
    <row r="13" spans="1:9" x14ac:dyDescent="0.35">
      <c r="A13" t="s">
        <v>116</v>
      </c>
      <c r="D13" s="25"/>
    </row>
    <row r="14" spans="1:9" x14ac:dyDescent="0.35">
      <c r="A14" t="s">
        <v>112</v>
      </c>
      <c r="D14" s="25"/>
    </row>
    <row r="15" spans="1:9" x14ac:dyDescent="0.35">
      <c r="A15" t="s">
        <v>925</v>
      </c>
      <c r="D15" s="25"/>
    </row>
    <row r="16" spans="1:9" x14ac:dyDescent="0.35">
      <c r="A16" t="s">
        <v>113</v>
      </c>
      <c r="D16" s="25"/>
    </row>
    <row r="17" spans="1:10" x14ac:dyDescent="0.35">
      <c r="A17" t="s">
        <v>114</v>
      </c>
      <c r="D17" s="25"/>
    </row>
    <row r="18" spans="1:10" x14ac:dyDescent="0.35">
      <c r="A18" t="s">
        <v>115</v>
      </c>
      <c r="D18" s="25"/>
    </row>
    <row r="19" spans="1:10" x14ac:dyDescent="0.35">
      <c r="A19" t="s">
        <v>77</v>
      </c>
      <c r="C19" s="25">
        <v>0.14000000000000001</v>
      </c>
      <c r="D19" s="25">
        <v>7.4999999999999997E-2</v>
      </c>
      <c r="E19" s="24">
        <f>+C19-D19</f>
        <v>6.5000000000000016E-2</v>
      </c>
      <c r="F19" t="s">
        <v>80</v>
      </c>
    </row>
    <row r="20" spans="1:10" x14ac:dyDescent="0.35">
      <c r="A20" t="s">
        <v>78</v>
      </c>
      <c r="D20" s="25"/>
    </row>
    <row r="21" spans="1:10" x14ac:dyDescent="0.35">
      <c r="A21" t="s">
        <v>79</v>
      </c>
      <c r="B21"/>
      <c r="C21" s="25">
        <v>0.09</v>
      </c>
      <c r="D21" s="25">
        <v>0.09</v>
      </c>
      <c r="I21">
        <v>1.38</v>
      </c>
      <c r="J21" t="s">
        <v>82</v>
      </c>
    </row>
    <row r="22" spans="1:10" x14ac:dyDescent="0.35">
      <c r="A22" t="s">
        <v>86</v>
      </c>
      <c r="B22"/>
      <c r="C22" s="25">
        <v>0.03</v>
      </c>
      <c r="D22" s="25">
        <v>0.03</v>
      </c>
      <c r="I22">
        <v>0.36</v>
      </c>
      <c r="J22" t="s">
        <v>83</v>
      </c>
    </row>
    <row r="23" spans="1:10" x14ac:dyDescent="0.35">
      <c r="A23" t="s">
        <v>87</v>
      </c>
      <c r="B23"/>
      <c r="D23" s="25"/>
    </row>
    <row r="24" spans="1:10" x14ac:dyDescent="0.35">
      <c r="A24" t="s">
        <v>75</v>
      </c>
      <c r="B24"/>
      <c r="D24" s="25"/>
      <c r="I24">
        <v>0.21</v>
      </c>
      <c r="J24" t="s">
        <v>85</v>
      </c>
    </row>
    <row r="25" spans="1:10" x14ac:dyDescent="0.35">
      <c r="A25" t="s">
        <v>76</v>
      </c>
      <c r="B25"/>
      <c r="D25" s="25"/>
      <c r="I25">
        <v>-0.03</v>
      </c>
      <c r="J25" t="s">
        <v>84</v>
      </c>
    </row>
    <row r="26" spans="1:10" x14ac:dyDescent="0.35">
      <c r="A26" t="s">
        <v>88</v>
      </c>
      <c r="B26"/>
      <c r="D26" s="25"/>
    </row>
    <row r="27" spans="1:10" x14ac:dyDescent="0.35">
      <c r="A27" t="s">
        <v>74</v>
      </c>
      <c r="B27"/>
      <c r="D27" s="25"/>
      <c r="I27">
        <f>+SUM(I21:I25)</f>
        <v>1.9199999999999997</v>
      </c>
    </row>
    <row r="28" spans="1:10" x14ac:dyDescent="0.35">
      <c r="A28" t="s">
        <v>81</v>
      </c>
      <c r="B28"/>
      <c r="C28" s="25">
        <v>0.16</v>
      </c>
      <c r="D28" s="25">
        <v>0.2</v>
      </c>
      <c r="E28" s="24">
        <f>+D28-C28</f>
        <v>4.0000000000000008E-2</v>
      </c>
      <c r="F28" t="s">
        <v>90</v>
      </c>
    </row>
    <row r="29" spans="1:10" x14ac:dyDescent="0.35">
      <c r="A29" s="6" t="s">
        <v>89</v>
      </c>
      <c r="B29"/>
      <c r="D29" s="25"/>
    </row>
    <row r="30" spans="1:10" x14ac:dyDescent="0.35">
      <c r="B30"/>
      <c r="D30" s="25"/>
    </row>
    <row r="31" spans="1:10" x14ac:dyDescent="0.35">
      <c r="A31" t="s">
        <v>72</v>
      </c>
    </row>
    <row r="32" spans="1:10" x14ac:dyDescent="0.35">
      <c r="A32" t="s">
        <v>73</v>
      </c>
    </row>
    <row r="33" spans="1:3" x14ac:dyDescent="0.35">
      <c r="C33" s="25" t="s">
        <v>98</v>
      </c>
    </row>
    <row r="34" spans="1:3" x14ac:dyDescent="0.35">
      <c r="A34" t="s">
        <v>93</v>
      </c>
      <c r="B34" s="25">
        <v>12.98</v>
      </c>
      <c r="C34" s="25">
        <v>12.48</v>
      </c>
    </row>
    <row r="35" spans="1:3" x14ac:dyDescent="0.35">
      <c r="A35" t="s">
        <v>94</v>
      </c>
      <c r="B35" s="25">
        <v>14.5</v>
      </c>
      <c r="C35" s="25">
        <v>14.5</v>
      </c>
    </row>
    <row r="36" spans="1:3" x14ac:dyDescent="0.35">
      <c r="A36" t="s">
        <v>95</v>
      </c>
      <c r="B36" s="25">
        <f>+B34+B35</f>
        <v>27.48</v>
      </c>
      <c r="C36" s="25">
        <f>+C34+C35</f>
        <v>26.98</v>
      </c>
    </row>
    <row r="37" spans="1:3" x14ac:dyDescent="0.35">
      <c r="A37" t="s">
        <v>96</v>
      </c>
      <c r="B37" s="25">
        <v>69</v>
      </c>
      <c r="C37" s="25">
        <v>69</v>
      </c>
    </row>
    <row r="38" spans="1:3" x14ac:dyDescent="0.35">
      <c r="B38" s="25">
        <v>48</v>
      </c>
      <c r="C38" s="25">
        <v>48</v>
      </c>
    </row>
    <row r="39" spans="1:3" x14ac:dyDescent="0.35">
      <c r="A39" t="s">
        <v>97</v>
      </c>
      <c r="B39" s="25">
        <f>+B36*(460+B38)/(460+B37)-B35</f>
        <v>11.889111531190927</v>
      </c>
      <c r="C39" s="25">
        <f>+C36*(460+C38)/(460+C37)-C35</f>
        <v>11.408960302457466</v>
      </c>
    </row>
    <row r="40" spans="1:3" x14ac:dyDescent="0.35">
      <c r="A40" t="s">
        <v>19</v>
      </c>
      <c r="B40" s="25">
        <f>+B34-B39</f>
        <v>1.090888468809073</v>
      </c>
      <c r="C40" s="27">
        <f>+C34-C39</f>
        <v>1.0710396975425347</v>
      </c>
    </row>
    <row r="42" spans="1:3" x14ac:dyDescent="0.35">
      <c r="A42" s="6" t="s">
        <v>44</v>
      </c>
    </row>
    <row r="43" spans="1:3" x14ac:dyDescent="0.35">
      <c r="A43" t="s">
        <v>37</v>
      </c>
    </row>
    <row r="44" spans="1:3" x14ac:dyDescent="0.35">
      <c r="A44" t="s">
        <v>38</v>
      </c>
    </row>
    <row r="45" spans="1:3" x14ac:dyDescent="0.35">
      <c r="B45" s="25" t="s">
        <v>39</v>
      </c>
    </row>
    <row r="46" spans="1:3" x14ac:dyDescent="0.35">
      <c r="B46" s="25" t="s">
        <v>40</v>
      </c>
    </row>
    <row r="47" spans="1:3" x14ac:dyDescent="0.35">
      <c r="B47" s="25" t="s">
        <v>41</v>
      </c>
    </row>
    <row r="49" spans="1:11" x14ac:dyDescent="0.35">
      <c r="B49" s="25" t="s">
        <v>1</v>
      </c>
      <c r="K49" t="s">
        <v>5</v>
      </c>
    </row>
    <row r="50" spans="1:11" x14ac:dyDescent="0.35">
      <c r="B50" s="25" t="s">
        <v>2</v>
      </c>
    </row>
    <row r="51" spans="1:11" x14ac:dyDescent="0.35">
      <c r="B51" s="25" t="s">
        <v>3</v>
      </c>
    </row>
    <row r="53" spans="1:11" x14ac:dyDescent="0.35">
      <c r="B53" s="25" t="s">
        <v>42</v>
      </c>
    </row>
    <row r="55" spans="1:11" x14ac:dyDescent="0.35">
      <c r="A55" s="6" t="s">
        <v>43</v>
      </c>
    </row>
    <row r="56" spans="1:11" x14ac:dyDescent="0.35">
      <c r="A56" t="s">
        <v>45</v>
      </c>
    </row>
    <row r="57" spans="1:11" x14ac:dyDescent="0.35">
      <c r="B57" s="25" t="s">
        <v>46</v>
      </c>
    </row>
    <row r="59" spans="1:11" x14ac:dyDescent="0.35">
      <c r="A59" t="s">
        <v>47</v>
      </c>
    </row>
    <row r="60" spans="1:11" x14ac:dyDescent="0.35">
      <c r="B60" s="25" t="s">
        <v>48</v>
      </c>
    </row>
    <row r="61" spans="1:11" x14ac:dyDescent="0.35">
      <c r="A61" t="s">
        <v>4</v>
      </c>
    </row>
    <row r="62" spans="1:11" x14ac:dyDescent="0.35">
      <c r="A62" t="s">
        <v>0</v>
      </c>
    </row>
    <row r="64" spans="1:11" x14ac:dyDescent="0.35">
      <c r="A64">
        <v>2.5000000000000001E-2</v>
      </c>
      <c r="B64" s="25" t="s">
        <v>6</v>
      </c>
    </row>
    <row r="65" spans="1:2" x14ac:dyDescent="0.35">
      <c r="A65" s="9">
        <f>+A64/12.5</f>
        <v>2E-3</v>
      </c>
      <c r="B65" s="25" t="s">
        <v>7</v>
      </c>
    </row>
    <row r="66" spans="1:2" x14ac:dyDescent="0.35">
      <c r="A66" s="8">
        <f>+(1+A65)^(1/3)-1</f>
        <v>6.6622271539196198E-4</v>
      </c>
      <c r="B66" s="25" t="s">
        <v>8</v>
      </c>
    </row>
    <row r="67" spans="1:2" x14ac:dyDescent="0.35">
      <c r="A67" s="10">
        <v>12</v>
      </c>
      <c r="B67" s="25" t="s">
        <v>9</v>
      </c>
    </row>
    <row r="68" spans="1:2" x14ac:dyDescent="0.35">
      <c r="A68" s="11">
        <f>1/(A67*A66)</f>
        <v>125.08329633327713</v>
      </c>
      <c r="B68" s="25" t="s">
        <v>10</v>
      </c>
    </row>
    <row r="70" spans="1:2" x14ac:dyDescent="0.35">
      <c r="A70" t="s">
        <v>11</v>
      </c>
    </row>
    <row r="71" spans="1:2" x14ac:dyDescent="0.35">
      <c r="A71" t="s">
        <v>12</v>
      </c>
    </row>
    <row r="72" spans="1:2" x14ac:dyDescent="0.35">
      <c r="A72" t="s">
        <v>13</v>
      </c>
    </row>
    <row r="74" spans="1:2" x14ac:dyDescent="0.35">
      <c r="A74" t="s">
        <v>924</v>
      </c>
    </row>
    <row r="75" spans="1:2" x14ac:dyDescent="0.35">
      <c r="A75">
        <v>3</v>
      </c>
      <c r="B75" s="25" t="s">
        <v>14</v>
      </c>
    </row>
    <row r="76" spans="1:2" x14ac:dyDescent="0.35">
      <c r="A76">
        <f>7*10</f>
        <v>70</v>
      </c>
      <c r="B76" s="25" t="s">
        <v>15</v>
      </c>
    </row>
    <row r="77" spans="1:2" x14ac:dyDescent="0.35">
      <c r="A77">
        <f>+A75*A76</f>
        <v>210</v>
      </c>
      <c r="B77" s="25" t="s">
        <v>14</v>
      </c>
    </row>
    <row r="79" spans="1:2" x14ac:dyDescent="0.35">
      <c r="B79" s="25" t="s">
        <v>16</v>
      </c>
    </row>
    <row r="80" spans="1:2" x14ac:dyDescent="0.35">
      <c r="B80" s="25" t="s">
        <v>17</v>
      </c>
    </row>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6"/>
  <sheetViews>
    <sheetView zoomScale="85" zoomScaleNormal="85" workbookViewId="0">
      <selection activeCell="A2" sqref="A2"/>
    </sheetView>
  </sheetViews>
  <sheetFormatPr defaultRowHeight="14.5" x14ac:dyDescent="0.35"/>
  <cols>
    <col min="1" max="1" width="5.36328125" customWidth="1"/>
    <col min="2" max="2" width="24.7265625" customWidth="1"/>
    <col min="3" max="3" width="8.453125" customWidth="1"/>
    <col min="4" max="4" width="10.1796875" customWidth="1"/>
    <col min="5" max="5" width="31.90625" customWidth="1"/>
    <col min="6" max="6" width="26.1796875" customWidth="1"/>
    <col min="7" max="7" width="10.1796875" style="55" customWidth="1"/>
    <col min="32" max="32" width="8.7265625" style="1"/>
    <col min="34" max="34" width="10.36328125" customWidth="1"/>
  </cols>
  <sheetData>
    <row r="1" spans="1:32" ht="58" x14ac:dyDescent="0.35">
      <c r="A1" s="18" t="s">
        <v>145</v>
      </c>
      <c r="B1" s="18" t="s">
        <v>146</v>
      </c>
      <c r="C1" s="18" t="s">
        <v>147</v>
      </c>
      <c r="D1" s="18" t="s">
        <v>148</v>
      </c>
      <c r="E1" s="18" t="s">
        <v>63</v>
      </c>
      <c r="F1" s="56" t="s">
        <v>349</v>
      </c>
      <c r="G1" s="56" t="s">
        <v>653</v>
      </c>
      <c r="H1" s="56"/>
    </row>
    <row r="2" spans="1:32" s="39" customFormat="1" ht="21" x14ac:dyDescent="0.5">
      <c r="A2" s="192" t="s">
        <v>961</v>
      </c>
      <c r="B2" s="44"/>
      <c r="C2" s="184" t="s">
        <v>322</v>
      </c>
      <c r="D2" s="44"/>
      <c r="E2" s="44"/>
      <c r="G2" s="97"/>
      <c r="AF2" s="41"/>
    </row>
    <row r="3" spans="1:32" ht="58" x14ac:dyDescent="0.35">
      <c r="A3" s="5" t="str">
        <f>+alph!A2</f>
        <v>A</v>
      </c>
      <c r="B3" s="5" t="s">
        <v>156</v>
      </c>
      <c r="C3" s="45">
        <v>0.77</v>
      </c>
      <c r="D3" s="5" t="s">
        <v>150</v>
      </c>
      <c r="E3" s="46" t="s">
        <v>313</v>
      </c>
      <c r="F3" s="71" t="s">
        <v>351</v>
      </c>
      <c r="G3" s="5" t="s">
        <v>654</v>
      </c>
    </row>
    <row r="4" spans="1:32" ht="29" x14ac:dyDescent="0.35">
      <c r="A4" s="5" t="str">
        <f>+alph!A3</f>
        <v>B</v>
      </c>
      <c r="B4" s="5" t="s">
        <v>310</v>
      </c>
      <c r="C4" s="47">
        <v>29.69</v>
      </c>
      <c r="D4" s="5" t="s">
        <v>311</v>
      </c>
      <c r="E4" s="5" t="s">
        <v>312</v>
      </c>
      <c r="F4" s="71" t="s">
        <v>352</v>
      </c>
      <c r="G4" s="5" t="s">
        <v>655</v>
      </c>
    </row>
    <row r="5" spans="1:32" ht="43.5" x14ac:dyDescent="0.35">
      <c r="A5" s="5" t="str">
        <f>+alph!A4</f>
        <v>C</v>
      </c>
      <c r="B5" s="5" t="s">
        <v>327</v>
      </c>
      <c r="C5" s="47">
        <v>29.89</v>
      </c>
      <c r="D5" s="5" t="s">
        <v>311</v>
      </c>
      <c r="E5" s="5" t="s">
        <v>312</v>
      </c>
      <c r="F5" s="71" t="s">
        <v>889</v>
      </c>
      <c r="G5" s="5" t="s">
        <v>655</v>
      </c>
    </row>
    <row r="6" spans="1:32" ht="58" x14ac:dyDescent="0.35">
      <c r="A6" s="5" t="str">
        <f>+alph!A5</f>
        <v>D</v>
      </c>
      <c r="B6" s="5" t="s">
        <v>347</v>
      </c>
      <c r="C6" s="47">
        <f>+C5-C4</f>
        <v>0.19999999999999929</v>
      </c>
      <c r="D6" s="5" t="s">
        <v>311</v>
      </c>
      <c r="E6" s="5" t="str">
        <f>+TEXT(A5,0)&amp;"-"&amp;TEXT(A4,0)</f>
        <v>C-B</v>
      </c>
      <c r="F6" s="71" t="s">
        <v>352</v>
      </c>
      <c r="G6" s="5" t="s">
        <v>655</v>
      </c>
    </row>
    <row r="7" spans="1:32" ht="43.5" x14ac:dyDescent="0.35">
      <c r="A7" s="5" t="str">
        <f>+alph!A6</f>
        <v>E</v>
      </c>
      <c r="B7" s="5" t="s">
        <v>330</v>
      </c>
      <c r="C7" s="47">
        <v>0.01</v>
      </c>
      <c r="D7" s="5" t="s">
        <v>149</v>
      </c>
      <c r="E7" s="5" t="s">
        <v>328</v>
      </c>
      <c r="F7" s="71" t="s">
        <v>352</v>
      </c>
      <c r="G7" s="5" t="s">
        <v>655</v>
      </c>
    </row>
    <row r="8" spans="1:32" ht="58" x14ac:dyDescent="0.35">
      <c r="A8" s="5" t="str">
        <f>+alph!A7</f>
        <v>F</v>
      </c>
      <c r="B8" s="5" t="s">
        <v>314</v>
      </c>
      <c r="C8" s="47">
        <v>256</v>
      </c>
      <c r="D8" s="5" t="s">
        <v>315</v>
      </c>
      <c r="E8" s="46" t="s">
        <v>316</v>
      </c>
      <c r="F8" s="71" t="s">
        <v>890</v>
      </c>
      <c r="G8" s="5" t="s">
        <v>655</v>
      </c>
    </row>
    <row r="9" spans="1:32" ht="29" x14ac:dyDescent="0.35">
      <c r="A9" s="5" t="str">
        <f>+alph!A8</f>
        <v>G</v>
      </c>
      <c r="B9" s="5" t="s">
        <v>317</v>
      </c>
      <c r="C9" s="47">
        <v>500</v>
      </c>
      <c r="D9" s="5" t="s">
        <v>315</v>
      </c>
      <c r="E9" s="46" t="s">
        <v>318</v>
      </c>
      <c r="F9" s="71" t="str">
        <f>+F8</f>
        <v>Precisely handle gas law, and quantify cooling by wet bag</v>
      </c>
      <c r="G9" s="5" t="s">
        <v>655</v>
      </c>
    </row>
    <row r="10" spans="1:32" ht="29" x14ac:dyDescent="0.35">
      <c r="A10" s="5" t="str">
        <f>+alph!A9</f>
        <v>H</v>
      </c>
      <c r="B10" s="5" t="s">
        <v>319</v>
      </c>
      <c r="C10" s="47">
        <v>0.5</v>
      </c>
      <c r="D10" s="5" t="s">
        <v>311</v>
      </c>
      <c r="E10" s="5" t="s">
        <v>312</v>
      </c>
      <c r="F10" s="71" t="str">
        <f t="shared" ref="F10:F11" si="0">+F9</f>
        <v>Precisely handle gas law, and quantify cooling by wet bag</v>
      </c>
      <c r="G10" s="5" t="s">
        <v>655</v>
      </c>
    </row>
    <row r="11" spans="1:32" ht="29" x14ac:dyDescent="0.35">
      <c r="A11" s="5" t="str">
        <f>+alph!A10</f>
        <v>I</v>
      </c>
      <c r="B11" s="5" t="s">
        <v>320</v>
      </c>
      <c r="C11" s="47">
        <f>+C4-C10*C8/C9</f>
        <v>29.434000000000001</v>
      </c>
      <c r="D11" s="5" t="s">
        <v>311</v>
      </c>
      <c r="E11" s="5" t="str">
        <f>+TEXT(A4,0)&amp;"-"&amp;TEXT(A10,0)&amp;"*"&amp;TEXT(A8,0)&amp;"/"&amp;TEXT(A9,0)</f>
        <v>B-H*F/G</v>
      </c>
      <c r="F11" s="71" t="str">
        <f t="shared" si="0"/>
        <v>Precisely handle gas law, and quantify cooling by wet bag</v>
      </c>
      <c r="G11" s="5" t="s">
        <v>655</v>
      </c>
    </row>
    <row r="12" spans="1:32" x14ac:dyDescent="0.35">
      <c r="A12" s="5" t="str">
        <f>+alph!A11</f>
        <v>J</v>
      </c>
      <c r="B12" s="5" t="s">
        <v>308</v>
      </c>
      <c r="C12" s="5">
        <v>48</v>
      </c>
      <c r="D12" s="5" t="s">
        <v>121</v>
      </c>
      <c r="E12" s="5" t="s">
        <v>309</v>
      </c>
      <c r="F12" s="71" t="s">
        <v>353</v>
      </c>
      <c r="G12" s="5" t="s">
        <v>656</v>
      </c>
    </row>
    <row r="13" spans="1:32" ht="58" x14ac:dyDescent="0.35">
      <c r="A13" s="5" t="str">
        <f>+alph!A12</f>
        <v>K</v>
      </c>
      <c r="B13" s="5" t="s">
        <v>210</v>
      </c>
      <c r="C13" s="50">
        <f>+IF(TRUE,44.61,48)</f>
        <v>44.61</v>
      </c>
      <c r="D13" s="48" t="s">
        <v>121</v>
      </c>
      <c r="E13" s="5" t="s">
        <v>321</v>
      </c>
      <c r="F13" s="71" t="s">
        <v>355</v>
      </c>
      <c r="G13" s="5" t="s">
        <v>654</v>
      </c>
      <c r="H13" s="53"/>
    </row>
    <row r="14" spans="1:32" ht="43.5" x14ac:dyDescent="0.35">
      <c r="A14" s="5" t="str">
        <f>+alph!A13</f>
        <v>L</v>
      </c>
      <c r="B14" s="5" t="s">
        <v>324</v>
      </c>
      <c r="C14" s="50">
        <v>41.14</v>
      </c>
      <c r="D14" s="48"/>
      <c r="E14" s="5" t="s">
        <v>325</v>
      </c>
      <c r="F14" s="71" t="s">
        <v>354</v>
      </c>
      <c r="G14" s="5" t="s">
        <v>655</v>
      </c>
    </row>
    <row r="15" spans="1:32" ht="29" x14ac:dyDescent="0.35">
      <c r="A15" s="5" t="str">
        <f>+alph!A14</f>
        <v>M</v>
      </c>
      <c r="B15" s="5" t="s">
        <v>159</v>
      </c>
      <c r="C15" s="45">
        <v>0.95</v>
      </c>
      <c r="D15" s="5" t="s">
        <v>150</v>
      </c>
      <c r="E15" s="5" t="s">
        <v>905</v>
      </c>
      <c r="F15" s="71" t="s">
        <v>355</v>
      </c>
      <c r="G15" s="5" t="s">
        <v>655</v>
      </c>
    </row>
    <row r="16" spans="1:32" ht="29" x14ac:dyDescent="0.35">
      <c r="A16" s="5" t="str">
        <f>+alph!A15</f>
        <v>N</v>
      </c>
      <c r="B16" s="5" t="s">
        <v>157</v>
      </c>
      <c r="C16" s="48">
        <f>+(C12-C13)*C15</f>
        <v>3.2205000000000004</v>
      </c>
      <c r="D16" s="5" t="s">
        <v>121</v>
      </c>
      <c r="E16" s="5" t="str">
        <f>+TEXT(A15,0)&amp;"*("&amp;TEXT(A12,0)&amp;"-"&amp;TEXT(A13,0)&amp;")"</f>
        <v>M*(J-K)</v>
      </c>
      <c r="F16" s="71" t="s">
        <v>355</v>
      </c>
      <c r="G16" s="5" t="s">
        <v>654</v>
      </c>
      <c r="H16" s="53"/>
    </row>
    <row r="17" spans="1:8" ht="29" x14ac:dyDescent="0.35">
      <c r="A17" s="160" t="str">
        <f>+alph!A16</f>
        <v>O</v>
      </c>
      <c r="B17" s="18" t="s">
        <v>155</v>
      </c>
      <c r="C17" s="51">
        <f>+C12-C16</f>
        <v>44.779499999999999</v>
      </c>
      <c r="D17" s="5" t="s">
        <v>121</v>
      </c>
      <c r="E17" s="5" t="str">
        <f>+TEXT(A12,0)&amp;"-"&amp;TEXT(A16,0)</f>
        <v>J-N</v>
      </c>
      <c r="F17" s="71" t="s">
        <v>359</v>
      </c>
      <c r="G17" s="5" t="s">
        <v>350</v>
      </c>
    </row>
    <row r="18" spans="1:8" ht="101.5" x14ac:dyDescent="0.35">
      <c r="A18" s="160" t="str">
        <f>+alph!A17</f>
        <v>P</v>
      </c>
      <c r="B18" s="5" t="s">
        <v>191</v>
      </c>
      <c r="C18" s="5">
        <v>72.5</v>
      </c>
      <c r="D18" s="5" t="s">
        <v>121</v>
      </c>
      <c r="E18" s="5" t="s">
        <v>323</v>
      </c>
      <c r="F18" s="71" t="s">
        <v>356</v>
      </c>
      <c r="G18" s="5" t="s">
        <v>656</v>
      </c>
    </row>
    <row r="19" spans="1:8" ht="87" x14ac:dyDescent="0.35">
      <c r="A19" s="160" t="str">
        <f>+alph!A18</f>
        <v>Q</v>
      </c>
      <c r="B19" s="5" t="s">
        <v>357</v>
      </c>
      <c r="C19" s="45">
        <v>0.32500000000000001</v>
      </c>
      <c r="D19" s="5" t="s">
        <v>150</v>
      </c>
      <c r="E19" s="5" t="s">
        <v>326</v>
      </c>
      <c r="F19" s="71" t="s">
        <v>370</v>
      </c>
      <c r="G19" s="5" t="s">
        <v>657</v>
      </c>
    </row>
    <row r="20" spans="1:8" ht="29" x14ac:dyDescent="0.35">
      <c r="A20" s="160" t="str">
        <f>+alph!A19</f>
        <v>R</v>
      </c>
      <c r="B20" s="5" t="s">
        <v>211</v>
      </c>
      <c r="C20" s="50">
        <v>55.65</v>
      </c>
      <c r="D20" s="48" t="s">
        <v>121</v>
      </c>
      <c r="E20" s="5" t="s">
        <v>158</v>
      </c>
      <c r="F20" s="71" t="s">
        <v>358</v>
      </c>
      <c r="G20" s="5" t="s">
        <v>652</v>
      </c>
    </row>
    <row r="21" spans="1:8" ht="29" x14ac:dyDescent="0.35">
      <c r="A21" s="160" t="str">
        <f>+alph!A20</f>
        <v>S</v>
      </c>
      <c r="B21" s="5" t="s">
        <v>151</v>
      </c>
      <c r="C21" s="50">
        <v>69</v>
      </c>
      <c r="D21" s="5" t="s">
        <v>121</v>
      </c>
      <c r="E21" s="5" t="s">
        <v>169</v>
      </c>
      <c r="F21" s="71" t="s">
        <v>360</v>
      </c>
      <c r="G21" s="5" t="s">
        <v>350</v>
      </c>
    </row>
    <row r="22" spans="1:8" ht="29" x14ac:dyDescent="0.35">
      <c r="A22" s="160" t="str">
        <f>+alph!A21</f>
        <v>T</v>
      </c>
      <c r="B22" s="5" t="s">
        <v>153</v>
      </c>
      <c r="C22" s="50">
        <v>48</v>
      </c>
      <c r="D22" s="5" t="s">
        <v>121</v>
      </c>
      <c r="E22" s="5" t="s">
        <v>169</v>
      </c>
      <c r="F22" s="71" t="s">
        <v>360</v>
      </c>
      <c r="G22" s="5" t="s">
        <v>656</v>
      </c>
    </row>
    <row r="23" spans="1:8" ht="29" x14ac:dyDescent="0.35">
      <c r="A23" s="160" t="str">
        <f>+alph!A22</f>
        <v>U</v>
      </c>
      <c r="B23" s="5" t="s">
        <v>154</v>
      </c>
      <c r="C23" s="5">
        <f>+(69-48)</f>
        <v>21</v>
      </c>
      <c r="D23" s="5" t="s">
        <v>121</v>
      </c>
      <c r="E23" s="5" t="str">
        <f>+TEXT(A21,0)&amp;"-"&amp;TEXT(A22,0)</f>
        <v>S-T</v>
      </c>
      <c r="F23" s="71" t="s">
        <v>360</v>
      </c>
      <c r="G23" s="5" t="s">
        <v>656</v>
      </c>
    </row>
    <row r="24" spans="1:8" ht="29" x14ac:dyDescent="0.35">
      <c r="A24" s="160" t="str">
        <f>+alph!A23</f>
        <v>V</v>
      </c>
      <c r="B24" s="5" t="s">
        <v>191</v>
      </c>
      <c r="C24" s="5">
        <v>72.5</v>
      </c>
      <c r="D24" s="5" t="s">
        <v>121</v>
      </c>
      <c r="E24" s="5" t="str">
        <f>+"Repeat of "&amp;TEXT(A18,0)</f>
        <v>Repeat of P</v>
      </c>
      <c r="F24" s="2"/>
      <c r="G24" s="5" t="s">
        <v>656</v>
      </c>
    </row>
    <row r="25" spans="1:8" ht="72.5" x14ac:dyDescent="0.35">
      <c r="A25" s="160" t="str">
        <f>+alph!A24</f>
        <v>W</v>
      </c>
      <c r="B25" s="5" t="s">
        <v>348</v>
      </c>
      <c r="C25" s="5">
        <v>69</v>
      </c>
      <c r="D25" s="5" t="s">
        <v>121</v>
      </c>
      <c r="E25" s="5" t="s">
        <v>343</v>
      </c>
      <c r="F25" s="71" t="s">
        <v>361</v>
      </c>
      <c r="G25" s="5" t="s">
        <v>656</v>
      </c>
    </row>
    <row r="26" spans="1:8" ht="101.5" x14ac:dyDescent="0.35">
      <c r="A26" s="160" t="str">
        <f>+alph!A25</f>
        <v>X</v>
      </c>
      <c r="B26" s="5" t="s">
        <v>189</v>
      </c>
      <c r="C26" s="5">
        <v>26</v>
      </c>
      <c r="D26" s="5" t="s">
        <v>121</v>
      </c>
      <c r="E26" s="5" t="s">
        <v>341</v>
      </c>
      <c r="F26" s="71" t="s">
        <v>364</v>
      </c>
      <c r="G26" s="5" t="s">
        <v>655</v>
      </c>
      <c r="H26" s="53"/>
    </row>
    <row r="27" spans="1:8" ht="58" x14ac:dyDescent="0.35">
      <c r="A27" s="160" t="str">
        <f>+alph!A26</f>
        <v>Y</v>
      </c>
      <c r="B27" s="5" t="s">
        <v>190</v>
      </c>
      <c r="C27" s="5">
        <v>53.1</v>
      </c>
      <c r="D27" s="5" t="s">
        <v>121</v>
      </c>
      <c r="E27" s="46" t="s">
        <v>313</v>
      </c>
      <c r="F27" s="71" t="s">
        <v>362</v>
      </c>
      <c r="G27" s="5" t="s">
        <v>655</v>
      </c>
    </row>
    <row r="28" spans="1:8" ht="29" x14ac:dyDescent="0.35">
      <c r="A28" s="160" t="str">
        <f>+alph!A27</f>
        <v>Z</v>
      </c>
      <c r="B28" s="5" t="s">
        <v>192</v>
      </c>
      <c r="C28" s="5">
        <f>+C24-C25</f>
        <v>3.5</v>
      </c>
      <c r="D28" s="5" t="s">
        <v>121</v>
      </c>
      <c r="E28" s="5" t="str">
        <f>+TEXT(A24,0)&amp;"-"&amp;TEXT(A25,0)</f>
        <v>V-W</v>
      </c>
      <c r="F28" s="71" t="s">
        <v>312</v>
      </c>
      <c r="G28" s="5" t="s">
        <v>656</v>
      </c>
    </row>
    <row r="29" spans="1:8" ht="29" x14ac:dyDescent="0.35">
      <c r="A29" s="160" t="str">
        <f>+alph!A28</f>
        <v>AA</v>
      </c>
      <c r="B29" s="5" t="s">
        <v>193</v>
      </c>
      <c r="C29" s="5">
        <f>+C24-C26</f>
        <v>46.5</v>
      </c>
      <c r="D29" s="5" t="s">
        <v>121</v>
      </c>
      <c r="E29" s="5" t="str">
        <f>+TEXT(A24,0)&amp;"-"&amp;TEXT(A26,0)</f>
        <v>V-X</v>
      </c>
      <c r="F29" s="71" t="s">
        <v>312</v>
      </c>
      <c r="G29" s="5" t="s">
        <v>655</v>
      </c>
    </row>
    <row r="30" spans="1:8" ht="58" x14ac:dyDescent="0.35">
      <c r="A30" s="160" t="str">
        <f>+alph!A29</f>
        <v>AB</v>
      </c>
      <c r="B30" s="5" t="s">
        <v>344</v>
      </c>
      <c r="C30" s="19">
        <f>+C28/C29</f>
        <v>7.5268817204301078E-2</v>
      </c>
      <c r="D30" s="5" t="s">
        <v>150</v>
      </c>
      <c r="E30" s="5" t="str">
        <f>+TEXT(A28,0)&amp;"/"&amp;TEXT(A29,0)</f>
        <v>Z/AA</v>
      </c>
      <c r="F30" s="71" t="s">
        <v>365</v>
      </c>
      <c r="G30" s="5" t="s">
        <v>655</v>
      </c>
    </row>
    <row r="31" spans="1:8" ht="43.5" x14ac:dyDescent="0.35">
      <c r="A31" s="160" t="str">
        <f>+alph!A30</f>
        <v>AC</v>
      </c>
      <c r="B31" s="5" t="s">
        <v>194</v>
      </c>
      <c r="C31" s="5">
        <f>+C24-C27</f>
        <v>19.399999999999999</v>
      </c>
      <c r="D31" s="5" t="s">
        <v>121</v>
      </c>
      <c r="E31" s="5" t="str">
        <f>+TEXT(A24,0)&amp;"-"&amp;TEXT(A27,0)</f>
        <v>V-Y</v>
      </c>
      <c r="F31" s="71" t="s">
        <v>366</v>
      </c>
      <c r="G31" s="5" t="s">
        <v>655</v>
      </c>
    </row>
    <row r="32" spans="1:8" ht="43.5" x14ac:dyDescent="0.35">
      <c r="A32" s="160" t="str">
        <f>+alph!A31</f>
        <v>AD</v>
      </c>
      <c r="B32" s="5" t="s">
        <v>195</v>
      </c>
      <c r="C32" s="5">
        <f>+C31*C30</f>
        <v>1.4602150537634409</v>
      </c>
      <c r="D32" s="5" t="s">
        <v>121</v>
      </c>
      <c r="E32" s="5" t="str">
        <f>+TEXT(A31,0)&amp;"*"&amp;TEXT(A30,0)</f>
        <v>AC*AB</v>
      </c>
      <c r="F32" s="71" t="s">
        <v>367</v>
      </c>
      <c r="G32" s="5" t="s">
        <v>655</v>
      </c>
    </row>
    <row r="33" spans="1:32" ht="58" x14ac:dyDescent="0.35">
      <c r="A33" s="160" t="str">
        <f>+alph!A32</f>
        <v>AE</v>
      </c>
      <c r="B33" s="5" t="s">
        <v>196</v>
      </c>
      <c r="C33" s="5">
        <f>+C24-C32</f>
        <v>71.039784946236566</v>
      </c>
      <c r="D33" s="5" t="s">
        <v>121</v>
      </c>
      <c r="E33" s="5" t="str">
        <f>+TEXT(A24,0)&amp;"-"&amp;TEXT(A23,0)</f>
        <v>V-U</v>
      </c>
      <c r="F33" s="71" t="s">
        <v>368</v>
      </c>
      <c r="G33" s="5" t="s">
        <v>655</v>
      </c>
    </row>
    <row r="34" spans="1:32" ht="58" x14ac:dyDescent="0.35">
      <c r="A34" s="160" t="str">
        <f>+alph!A33</f>
        <v>AF</v>
      </c>
      <c r="B34" s="5" t="s">
        <v>200</v>
      </c>
      <c r="C34" s="5">
        <v>2.25</v>
      </c>
      <c r="D34" s="5" t="s">
        <v>117</v>
      </c>
      <c r="E34" s="5" t="s">
        <v>342</v>
      </c>
      <c r="F34" s="71" t="s">
        <v>363</v>
      </c>
      <c r="G34" s="5" t="s">
        <v>652</v>
      </c>
    </row>
    <row r="35" spans="1:32" ht="72.5" x14ac:dyDescent="0.35">
      <c r="A35" s="160" t="str">
        <f>+alph!A34</f>
        <v>AG</v>
      </c>
      <c r="B35" s="5" t="s">
        <v>197</v>
      </c>
      <c r="C35" s="47">
        <f>+(3)/20</f>
        <v>0.15</v>
      </c>
      <c r="D35" s="5" t="s">
        <v>150</v>
      </c>
      <c r="E35" s="5" t="s">
        <v>883</v>
      </c>
      <c r="F35" s="71" t="s">
        <v>440</v>
      </c>
      <c r="G35" s="5" t="s">
        <v>658</v>
      </c>
    </row>
    <row r="36" spans="1:32" ht="29" x14ac:dyDescent="0.35">
      <c r="A36" s="160" t="str">
        <f>+alph!A35</f>
        <v>AH</v>
      </c>
      <c r="B36" s="5" t="s">
        <v>198</v>
      </c>
      <c r="C36" s="47">
        <f>+C35*C32</f>
        <v>0.21903225806451612</v>
      </c>
      <c r="D36" s="5" t="s">
        <v>121</v>
      </c>
      <c r="E36" s="5" t="str">
        <f>+TEXT(A35,0)&amp;"*"&amp;TEXT(A32,0)</f>
        <v>AG*AD</v>
      </c>
      <c r="F36" s="71" t="s">
        <v>441</v>
      </c>
      <c r="G36" s="5" t="s">
        <v>658</v>
      </c>
    </row>
    <row r="37" spans="1:32" ht="58" x14ac:dyDescent="0.35">
      <c r="A37" s="160" t="str">
        <f>+alph!A36</f>
        <v>AI</v>
      </c>
      <c r="B37" s="5" t="s">
        <v>199</v>
      </c>
      <c r="C37" s="47">
        <f>+C24-C36</f>
        <v>72.280967741935484</v>
      </c>
      <c r="D37" s="5" t="s">
        <v>121</v>
      </c>
      <c r="E37" s="5" t="str">
        <f>+TEXT(A24,0)&amp;"*"&amp;TEXT(A36,0)</f>
        <v>V*AH</v>
      </c>
      <c r="F37" s="5" t="s">
        <v>369</v>
      </c>
      <c r="G37" s="5" t="s">
        <v>658</v>
      </c>
    </row>
    <row r="38" spans="1:32" s="39" customFormat="1" ht="18.5" x14ac:dyDescent="0.45">
      <c r="A38" s="192" t="s">
        <v>961</v>
      </c>
      <c r="B38" s="201" t="s">
        <v>929</v>
      </c>
      <c r="C38" s="202"/>
      <c r="D38" s="202"/>
      <c r="E38" s="202"/>
      <c r="F38" s="202"/>
      <c r="G38" s="97"/>
      <c r="AF38" s="41"/>
    </row>
    <row r="39" spans="1:32" ht="116" x14ac:dyDescent="0.35">
      <c r="A39" s="160" t="str">
        <f>+alph!A38</f>
        <v>AK</v>
      </c>
      <c r="B39" s="165" t="s">
        <v>345</v>
      </c>
      <c r="C39" s="189">
        <f>-gas!K30</f>
        <v>4.9247785990710113E-2</v>
      </c>
      <c r="D39" s="165" t="s">
        <v>642</v>
      </c>
      <c r="E39" s="165" t="str">
        <f>+"Gas law sheet row "&amp;TEXT(gas!A30,0)&amp;" Column "&amp;TEXT(gas!K16,0)</f>
        <v>Gas law sheet row Gas_Y Column 10</v>
      </c>
      <c r="F39" s="166" t="s">
        <v>649</v>
      </c>
      <c r="G39" s="5" t="s">
        <v>656</v>
      </c>
    </row>
    <row r="40" spans="1:32" ht="58" x14ac:dyDescent="0.35">
      <c r="A40" s="160" t="str">
        <f>+alph!A39</f>
        <v>AL</v>
      </c>
      <c r="B40" s="165" t="s">
        <v>641</v>
      </c>
      <c r="C40" s="189">
        <f>+gas!Q30</f>
        <v>4.8059650458625924E-2</v>
      </c>
      <c r="D40" s="165" t="s">
        <v>643</v>
      </c>
      <c r="E40" s="165" t="str">
        <f>+"Gas law sheet row "&amp;TEXT(gas!A30,0)&amp;" Column "&amp;TEXT(gas!Q16,0)</f>
        <v>Gas law sheet row Gas_Y Column 15</v>
      </c>
      <c r="F40" s="166" t="s">
        <v>650</v>
      </c>
      <c r="G40" s="5" t="s">
        <v>656</v>
      </c>
    </row>
    <row r="41" spans="1:32" x14ac:dyDescent="0.35">
      <c r="A41" s="160" t="str">
        <f>+alph!A40</f>
        <v>AM</v>
      </c>
      <c r="B41" s="172" t="s">
        <v>953</v>
      </c>
      <c r="C41" s="48"/>
      <c r="D41" s="5"/>
      <c r="E41" s="5"/>
      <c r="F41" s="5"/>
      <c r="G41" s="5"/>
    </row>
    <row r="42" spans="1:32" ht="58" x14ac:dyDescent="0.35">
      <c r="A42" s="160" t="str">
        <f>+alph!A41</f>
        <v>AN</v>
      </c>
      <c r="B42" s="5" t="s">
        <v>638</v>
      </c>
      <c r="C42" s="101">
        <v>67</v>
      </c>
      <c r="D42" s="5" t="s">
        <v>121</v>
      </c>
      <c r="E42" s="5" t="s">
        <v>639</v>
      </c>
      <c r="F42" s="5"/>
      <c r="G42" s="5" t="s">
        <v>656</v>
      </c>
    </row>
    <row r="43" spans="1:32" ht="29" x14ac:dyDescent="0.35">
      <c r="A43" s="160" t="str">
        <f>+alph!A42</f>
        <v>AO</v>
      </c>
      <c r="B43" s="5" t="s">
        <v>640</v>
      </c>
      <c r="C43" s="48">
        <f>+C37-C42</f>
        <v>5.2809677419354841</v>
      </c>
      <c r="D43" s="5" t="s">
        <v>121</v>
      </c>
      <c r="E43" s="5" t="str">
        <f>+TEXT(A37,0)&amp;"-"&amp;TEXT(A42,0)</f>
        <v>AI-AN</v>
      </c>
      <c r="F43" s="5"/>
      <c r="G43" s="5" t="s">
        <v>651</v>
      </c>
    </row>
    <row r="44" spans="1:32" ht="116" x14ac:dyDescent="0.35">
      <c r="A44" s="160" t="str">
        <f>+alph!A43</f>
        <v>AP</v>
      </c>
      <c r="B44" s="5" t="s">
        <v>830</v>
      </c>
      <c r="C44" s="48">
        <f>+C43*C39</f>
        <v>0.26007596917868236</v>
      </c>
      <c r="D44" s="5" t="s">
        <v>149</v>
      </c>
      <c r="E44" s="5" t="str">
        <f>+TEXT(A41,0)&amp;"*"&amp;TEXT(A18,0)</f>
        <v>AM*P</v>
      </c>
      <c r="F44" s="5" t="s">
        <v>442</v>
      </c>
      <c r="G44" s="5" t="s">
        <v>651</v>
      </c>
    </row>
    <row r="45" spans="1:32" x14ac:dyDescent="0.35">
      <c r="A45" s="160" t="str">
        <f>+alph!A44</f>
        <v>AQ</v>
      </c>
      <c r="B45" s="129" t="s">
        <v>180</v>
      </c>
      <c r="C45" s="50">
        <f>+C37</f>
        <v>72.280967741935484</v>
      </c>
      <c r="D45" s="48" t="s">
        <v>121</v>
      </c>
      <c r="E45" s="129" t="str">
        <f>+"repeat of "&amp;TEXT(A37,0)</f>
        <v>repeat of AI</v>
      </c>
      <c r="F45" s="2"/>
      <c r="G45" s="129"/>
    </row>
    <row r="46" spans="1:32" x14ac:dyDescent="0.35">
      <c r="A46" s="160" t="str">
        <f>+alph!A45</f>
        <v>AR</v>
      </c>
      <c r="B46" s="129" t="s">
        <v>831</v>
      </c>
      <c r="C46" s="50">
        <f>+C21</f>
        <v>69</v>
      </c>
      <c r="D46" s="48" t="s">
        <v>121</v>
      </c>
      <c r="E46" s="129" t="str">
        <f>+"repeat of "&amp;TEXT(A21,0)</f>
        <v>repeat of S</v>
      </c>
      <c r="F46" s="2"/>
      <c r="G46" s="129"/>
    </row>
    <row r="47" spans="1:32" x14ac:dyDescent="0.35">
      <c r="A47" s="160" t="str">
        <f>+alph!A46</f>
        <v>AS</v>
      </c>
      <c r="B47" s="129" t="s">
        <v>832</v>
      </c>
      <c r="C47" s="50">
        <f>+C45-C46</f>
        <v>3.2809677419354841</v>
      </c>
      <c r="D47" s="48" t="s">
        <v>121</v>
      </c>
      <c r="E47" s="129" t="str">
        <f>+TEXT(A45,0)&amp;"-"&amp;TEXT(A46,0)</f>
        <v>AQ-AR</v>
      </c>
      <c r="F47" s="2"/>
      <c r="G47" s="129"/>
    </row>
    <row r="48" spans="1:32" ht="58" x14ac:dyDescent="0.35">
      <c r="A48" s="160" t="str">
        <f>+alph!A47</f>
        <v>AT</v>
      </c>
      <c r="B48" s="129" t="s">
        <v>833</v>
      </c>
      <c r="C48" s="47">
        <f>+C47*C40</f>
        <v>0.15768216284344655</v>
      </c>
      <c r="D48" s="48" t="s">
        <v>121</v>
      </c>
      <c r="E48" s="129" t="str">
        <f>+TEXT(A47,0)&amp;"*"&amp;TEXT(A40,0)</f>
        <v>AS*AL</v>
      </c>
      <c r="F48" s="129" t="s">
        <v>834</v>
      </c>
      <c r="G48" s="129" t="s">
        <v>652</v>
      </c>
    </row>
    <row r="49" spans="1:32" x14ac:dyDescent="0.35">
      <c r="A49" s="160" t="str">
        <f>+alph!A48</f>
        <v>AU</v>
      </c>
    </row>
    <row r="50" spans="1:32" s="33" customFormat="1" ht="18.5" x14ac:dyDescent="0.45">
      <c r="A50" s="160" t="str">
        <f>+alph!A49</f>
        <v>AV</v>
      </c>
      <c r="B50" s="185" t="s">
        <v>983</v>
      </c>
      <c r="C50" s="35"/>
      <c r="D50" s="35"/>
      <c r="G50" s="57"/>
      <c r="AF50" s="42"/>
    </row>
    <row r="51" spans="1:32" ht="29" x14ac:dyDescent="0.35">
      <c r="A51" s="160" t="str">
        <f>+alph!A50</f>
        <v>AW</v>
      </c>
      <c r="B51" s="130" t="s">
        <v>444</v>
      </c>
      <c r="C51" s="49" t="s">
        <v>68</v>
      </c>
      <c r="D51" s="49" t="s">
        <v>836</v>
      </c>
      <c r="E51" s="128" t="s">
        <v>63</v>
      </c>
      <c r="F51" s="129" t="s">
        <v>653</v>
      </c>
      <c r="G51" s="131"/>
    </row>
    <row r="52" spans="1:32" s="6" customFormat="1" ht="43.5" x14ac:dyDescent="0.35">
      <c r="A52" s="160" t="str">
        <f>+alph!A51</f>
        <v>AX</v>
      </c>
      <c r="B52" s="127" t="s">
        <v>346</v>
      </c>
      <c r="C52" s="96">
        <v>12.5</v>
      </c>
      <c r="D52" s="96"/>
      <c r="E52" s="127" t="s">
        <v>418</v>
      </c>
      <c r="F52" s="127" t="s">
        <v>656</v>
      </c>
      <c r="G52" s="20"/>
      <c r="AF52" s="43"/>
    </row>
    <row r="53" spans="1:32" ht="43.5" x14ac:dyDescent="0.35">
      <c r="A53" s="160" t="str">
        <f>+alph!A52</f>
        <v>AY</v>
      </c>
      <c r="B53" s="129" t="s">
        <v>234</v>
      </c>
      <c r="C53" s="69">
        <f>+(C52+0.2836)/1.05</f>
        <v>12.174857142857142</v>
      </c>
      <c r="D53" s="69"/>
      <c r="E53" s="129" t="s">
        <v>835</v>
      </c>
      <c r="F53" s="129" t="s">
        <v>659</v>
      </c>
      <c r="G53" s="131"/>
    </row>
    <row r="54" spans="1:32" ht="87" x14ac:dyDescent="0.35">
      <c r="A54" s="160" t="str">
        <f>+alph!A53</f>
        <v>AZ</v>
      </c>
      <c r="B54" s="129" t="s">
        <v>829</v>
      </c>
      <c r="C54" s="69">
        <f>+gas!C36</f>
        <v>1.2100000000000009</v>
      </c>
      <c r="D54" s="69"/>
      <c r="E54" s="129" t="s">
        <v>838</v>
      </c>
      <c r="F54" s="129"/>
      <c r="G54" s="131"/>
    </row>
    <row r="55" spans="1:32" ht="29" x14ac:dyDescent="0.35">
      <c r="A55" s="160" t="str">
        <f>+alph!A54</f>
        <v>BA</v>
      </c>
      <c r="B55" s="129" t="s">
        <v>850</v>
      </c>
      <c r="C55" s="69">
        <v>0.01</v>
      </c>
      <c r="D55" s="69"/>
      <c r="E55" s="129"/>
      <c r="F55" s="129"/>
      <c r="G55" s="131"/>
    </row>
    <row r="56" spans="1:32" ht="58" x14ac:dyDescent="0.35">
      <c r="A56" s="160" t="str">
        <f>+alph!A55</f>
        <v>BB</v>
      </c>
      <c r="B56" s="129" t="s">
        <v>839</v>
      </c>
      <c r="C56" s="69">
        <f>+C48</f>
        <v>0.15768216284344655</v>
      </c>
      <c r="D56" s="69"/>
      <c r="E56" s="129" t="str">
        <f>+"repeat of "&amp;TEXT(A48,0)</f>
        <v>repeat of AT</v>
      </c>
      <c r="F56" s="129"/>
      <c r="G56" s="131"/>
    </row>
    <row r="57" spans="1:32" ht="29" x14ac:dyDescent="0.35">
      <c r="A57" s="160" t="str">
        <f>+alph!A56</f>
        <v>BC</v>
      </c>
      <c r="B57" s="129" t="s">
        <v>840</v>
      </c>
      <c r="C57" s="69">
        <f>+C53-SUM(C54:C56)</f>
        <v>10.797174980013695</v>
      </c>
      <c r="D57" s="69"/>
      <c r="E57" s="129" t="s">
        <v>844</v>
      </c>
      <c r="F57" s="129"/>
      <c r="G57" s="131"/>
    </row>
    <row r="58" spans="1:32" ht="29" x14ac:dyDescent="0.35">
      <c r="A58" s="160" t="str">
        <f>+alph!A57</f>
        <v>BD</v>
      </c>
      <c r="B58" s="129" t="s">
        <v>841</v>
      </c>
      <c r="C58" s="69">
        <f>+C57*1.05-0.2836</f>
        <v>11.053433729014381</v>
      </c>
      <c r="D58" s="69"/>
      <c r="E58" s="129" t="s">
        <v>842</v>
      </c>
      <c r="F58" s="129"/>
      <c r="G58" s="131"/>
    </row>
    <row r="59" spans="1:32" ht="58" x14ac:dyDescent="0.35">
      <c r="A59" s="160" t="str">
        <f>+alph!A58</f>
        <v>BE</v>
      </c>
      <c r="B59" s="129" t="s">
        <v>843</v>
      </c>
      <c r="C59" s="69" t="s">
        <v>668</v>
      </c>
      <c r="D59" s="69"/>
      <c r="E59" s="129" t="s">
        <v>845</v>
      </c>
      <c r="F59" s="52"/>
      <c r="G59" s="131"/>
    </row>
    <row r="60" spans="1:32" x14ac:dyDescent="0.35">
      <c r="A60" s="160" t="str">
        <f>+alph!A59</f>
        <v>BF</v>
      </c>
      <c r="B60" s="52"/>
      <c r="C60" s="24"/>
    </row>
    <row r="61" spans="1:32" s="33" customFormat="1" ht="21" x14ac:dyDescent="0.5">
      <c r="A61" s="192" t="s">
        <v>961</v>
      </c>
      <c r="B61" s="186" t="s">
        <v>689</v>
      </c>
      <c r="C61" s="35"/>
      <c r="D61" s="35"/>
      <c r="G61" s="57"/>
      <c r="AF61" s="42"/>
    </row>
    <row r="62" spans="1:32" ht="29" x14ac:dyDescent="0.35">
      <c r="A62" s="160" t="str">
        <f>+alph!A61</f>
        <v>BH</v>
      </c>
      <c r="B62" s="64" t="s">
        <v>444</v>
      </c>
      <c r="C62" s="49" t="s">
        <v>68</v>
      </c>
      <c r="D62" s="49" t="s">
        <v>71</v>
      </c>
      <c r="E62" s="18" t="s">
        <v>63</v>
      </c>
      <c r="F62" s="159" t="s">
        <v>653</v>
      </c>
    </row>
    <row r="63" spans="1:32" ht="29" x14ac:dyDescent="0.35">
      <c r="A63" s="160" t="str">
        <f>+alph!A62</f>
        <v>BI</v>
      </c>
      <c r="B63" s="5" t="s">
        <v>304</v>
      </c>
      <c r="C63" s="49" t="b">
        <v>1</v>
      </c>
      <c r="D63" s="49" t="b">
        <v>1</v>
      </c>
      <c r="E63" t="s">
        <v>892</v>
      </c>
      <c r="F63" s="158" t="s">
        <v>651</v>
      </c>
    </row>
    <row r="64" spans="1:32" s="6" customFormat="1" ht="43.5" x14ac:dyDescent="0.35">
      <c r="A64" s="160" t="str">
        <f>+alph!A63</f>
        <v>BJ</v>
      </c>
      <c r="B64" s="82" t="s">
        <v>346</v>
      </c>
      <c r="C64" s="96">
        <v>12.5</v>
      </c>
      <c r="D64" s="96">
        <v>13</v>
      </c>
      <c r="E64" s="82" t="s">
        <v>418</v>
      </c>
      <c r="F64" s="82" t="s">
        <v>656</v>
      </c>
      <c r="G64" s="20"/>
      <c r="AF64" s="43"/>
    </row>
    <row r="65" spans="1:32" ht="58" x14ac:dyDescent="0.35">
      <c r="A65" s="160" t="str">
        <f>+alph!A64</f>
        <v>BK</v>
      </c>
      <c r="B65" s="5" t="s">
        <v>234</v>
      </c>
      <c r="C65" s="69">
        <f>+IF(C63,(C64+0.2836)/1.05,(C64+0.1444)/1.015)</f>
        <v>12.174857142857142</v>
      </c>
      <c r="D65" s="69">
        <f>+IF(D63,(D64+0.2836)/1.05,(D64+0.1444)/1.015)</f>
        <v>12.651047619047619</v>
      </c>
      <c r="E65" s="5" t="s">
        <v>445</v>
      </c>
      <c r="F65" s="5" t="s">
        <v>659</v>
      </c>
    </row>
    <row r="66" spans="1:32" ht="58" x14ac:dyDescent="0.35">
      <c r="A66" s="160" t="str">
        <f>+alph!A65</f>
        <v>BL</v>
      </c>
      <c r="B66" s="5" t="s">
        <v>413</v>
      </c>
      <c r="C66" s="69">
        <f>+gas!H30</f>
        <v>1.3756318452530678</v>
      </c>
      <c r="D66" s="48">
        <f>+gas!I30</f>
        <v>1.400235274294543</v>
      </c>
      <c r="E66" s="5" t="str">
        <f>+"See gas law calculations, row "&amp;TEXT(gas!A30,0)&amp;" using the starting and ending temperatures"</f>
        <v>See gas law calculations, row Gas_Y using the starting and ending temperatures</v>
      </c>
      <c r="F66" s="5" t="s">
        <v>661</v>
      </c>
    </row>
    <row r="67" spans="1:32" ht="43.5" x14ac:dyDescent="0.35">
      <c r="A67" s="160" t="str">
        <f>+alph!A66</f>
        <v>BM</v>
      </c>
      <c r="B67" s="5" t="s">
        <v>893</v>
      </c>
      <c r="C67" s="69">
        <f>+gas!C37</f>
        <v>8.2854442344045154E-2</v>
      </c>
      <c r="D67" s="69">
        <f>+gas!F37</f>
        <v>3.6339004410839593E-2</v>
      </c>
      <c r="E67" s="5" t="s">
        <v>426</v>
      </c>
      <c r="F67" s="203" t="s">
        <v>663</v>
      </c>
    </row>
    <row r="68" spans="1:32" ht="59.5" customHeight="1" x14ac:dyDescent="0.35">
      <c r="A68" s="160" t="str">
        <f>+alph!A67</f>
        <v>BN</v>
      </c>
      <c r="B68" s="5" t="s">
        <v>894</v>
      </c>
      <c r="C68" s="69">
        <f>+gas!C46</f>
        <v>0.13285444234404545</v>
      </c>
      <c r="D68" s="69">
        <f>+gas!F46</f>
        <v>0.12004270811454233</v>
      </c>
      <c r="E68" s="5" t="s">
        <v>426</v>
      </c>
      <c r="F68" s="204"/>
    </row>
    <row r="69" spans="1:32" ht="29" x14ac:dyDescent="0.35">
      <c r="A69" s="160" t="str">
        <f>+alph!A68</f>
        <v>BO</v>
      </c>
      <c r="B69" s="5" t="s">
        <v>421</v>
      </c>
      <c r="C69" s="48">
        <f>+C$66+C67</f>
        <v>1.458486287597113</v>
      </c>
      <c r="D69" s="48">
        <f>+D$66+D67</f>
        <v>1.4365742787053826</v>
      </c>
      <c r="E69" s="5" t="s">
        <v>443</v>
      </c>
      <c r="F69" s="203" t="s">
        <v>660</v>
      </c>
    </row>
    <row r="70" spans="1:32" ht="29" x14ac:dyDescent="0.35">
      <c r="A70" s="160" t="str">
        <f>+alph!A69</f>
        <v>BP</v>
      </c>
      <c r="B70" s="5" t="s">
        <v>420</v>
      </c>
      <c r="C70" s="48">
        <f>+C$66+C68</f>
        <v>1.5084862875971132</v>
      </c>
      <c r="D70" s="48">
        <f>+D$66+D68</f>
        <v>1.5202779824090853</v>
      </c>
      <c r="E70" s="5" t="s">
        <v>443</v>
      </c>
      <c r="F70" s="204"/>
    </row>
    <row r="71" spans="1:32" ht="29" x14ac:dyDescent="0.35">
      <c r="A71" s="160" t="str">
        <f>+alph!A70</f>
        <v>BQ</v>
      </c>
      <c r="B71" s="5" t="s">
        <v>425</v>
      </c>
      <c r="C71" s="69">
        <f>+C7</f>
        <v>0.01</v>
      </c>
      <c r="D71" s="69">
        <f>+C71</f>
        <v>0.01</v>
      </c>
      <c r="E71" s="5" t="str">
        <f>+"Repeat of "&amp;TEXT(A7,0)</f>
        <v>Repeat of E</v>
      </c>
      <c r="F71" s="5" t="s">
        <v>891</v>
      </c>
    </row>
    <row r="72" spans="1:32" ht="43.5" x14ac:dyDescent="0.35">
      <c r="A72" s="160" t="str">
        <f>+alph!A71</f>
        <v>BR</v>
      </c>
      <c r="B72" s="5" t="s">
        <v>422</v>
      </c>
      <c r="C72" s="69">
        <v>0.01</v>
      </c>
      <c r="D72" s="69">
        <v>0.01</v>
      </c>
      <c r="E72" s="5" t="s">
        <v>119</v>
      </c>
      <c r="F72" s="5" t="s">
        <v>662</v>
      </c>
    </row>
    <row r="73" spans="1:32" ht="29" x14ac:dyDescent="0.35">
      <c r="A73" s="160" t="str">
        <f>+alph!A72</f>
        <v>BS</v>
      </c>
      <c r="B73" s="5" t="s">
        <v>424</v>
      </c>
      <c r="C73" s="69">
        <f>+C65-C69+C71-C72</f>
        <v>10.716370855260029</v>
      </c>
      <c r="D73" s="69">
        <f>+D65-D69+D71-D72</f>
        <v>11.214473340342236</v>
      </c>
      <c r="E73" s="5" t="str">
        <f>+TEXT(A$65,0)&amp;"-"&amp;TEXT(A69,0)&amp;"+"&amp;TEXT(A$71,0)&amp;"-"&amp;TEXT(A$72,0)</f>
        <v>BK-BO+BQ-BR</v>
      </c>
      <c r="F73" s="203" t="s">
        <v>660</v>
      </c>
    </row>
    <row r="74" spans="1:32" ht="29" x14ac:dyDescent="0.35">
      <c r="A74" s="160" t="str">
        <f>+alph!A73</f>
        <v>BT</v>
      </c>
      <c r="B74" s="5" t="s">
        <v>423</v>
      </c>
      <c r="C74" s="69">
        <f>+C65-C70+C71-C72</f>
        <v>10.666370855260029</v>
      </c>
      <c r="D74" s="69">
        <f>+D65-D70+D71-D72</f>
        <v>11.130769636638533</v>
      </c>
      <c r="E74" s="5" t="str">
        <f>+TEXT(A$65,0)&amp;"-"&amp;TEXT(A70,0)&amp;"+"&amp;TEXT(A$71,0)&amp;"-"&amp;TEXT(A$72,0)</f>
        <v>BK-BP+BQ-BR</v>
      </c>
      <c r="F74" s="204"/>
    </row>
    <row r="75" spans="1:32" ht="58" x14ac:dyDescent="0.35">
      <c r="A75" s="160" t="str">
        <f>+alph!A74</f>
        <v>BU</v>
      </c>
      <c r="B75" s="5" t="s">
        <v>428</v>
      </c>
      <c r="C75" s="48">
        <f>-gas!J30</f>
        <v>1.0956060678601887E-2</v>
      </c>
      <c r="D75" s="48">
        <f>+C75</f>
        <v>1.0956060678601887E-2</v>
      </c>
      <c r="E75" s="5" t="str">
        <f>+"See gas law calculations, row "&amp;TEXT(gas!A30,0)</f>
        <v>See gas law calculations, row Gas_Y</v>
      </c>
      <c r="F75" s="5" t="s">
        <v>656</v>
      </c>
    </row>
    <row r="76" spans="1:32" ht="58" x14ac:dyDescent="0.35">
      <c r="A76" s="160" t="str">
        <f>+alph!A75</f>
        <v>BV</v>
      </c>
      <c r="B76" s="18" t="s">
        <v>895</v>
      </c>
      <c r="C76" s="49">
        <f>+C69+C$75</f>
        <v>1.4694423482757148</v>
      </c>
      <c r="D76" s="49">
        <f>+D69+D$75</f>
        <v>1.4475303393839845</v>
      </c>
      <c r="E76" s="207" t="s">
        <v>673</v>
      </c>
      <c r="F76" s="5" t="s">
        <v>897</v>
      </c>
    </row>
    <row r="77" spans="1:32" ht="89" customHeight="1" x14ac:dyDescent="0.35">
      <c r="A77" s="160" t="str">
        <f>+alph!A76</f>
        <v>BW</v>
      </c>
      <c r="B77" s="18" t="s">
        <v>896</v>
      </c>
      <c r="C77" s="49">
        <f>+C70+C$75</f>
        <v>1.5194423482757151</v>
      </c>
      <c r="D77" s="49">
        <f>+D70+D$75</f>
        <v>1.5312340430876872</v>
      </c>
      <c r="E77" s="208"/>
      <c r="F77" s="5" t="s">
        <v>898</v>
      </c>
    </row>
    <row r="78" spans="1:32" ht="37" customHeight="1" x14ac:dyDescent="0.35">
      <c r="A78" s="160" t="str">
        <f>+alph!A77</f>
        <v>BX</v>
      </c>
      <c r="B78" s="79"/>
      <c r="C78" s="106"/>
      <c r="D78" s="106"/>
      <c r="E78" s="52"/>
      <c r="F78" s="52"/>
    </row>
    <row r="79" spans="1:32" s="39" customFormat="1" ht="21" x14ac:dyDescent="0.5">
      <c r="A79" s="192" t="s">
        <v>961</v>
      </c>
      <c r="B79" s="187" t="s">
        <v>592</v>
      </c>
      <c r="C79" s="40"/>
      <c r="D79" s="40"/>
      <c r="G79" s="97"/>
      <c r="AF79" s="41"/>
    </row>
    <row r="80" spans="1:32" ht="87" x14ac:dyDescent="0.35">
      <c r="A80" s="160" t="str">
        <f>+alph!A79</f>
        <v>BZ</v>
      </c>
      <c r="B80" s="5" t="s">
        <v>201</v>
      </c>
      <c r="C80" s="65">
        <v>4</v>
      </c>
      <c r="D80" s="65" t="s">
        <v>117</v>
      </c>
      <c r="E80" s="5" t="s">
        <v>584</v>
      </c>
    </row>
    <row r="81" spans="1:32" ht="29" x14ac:dyDescent="0.35">
      <c r="A81" s="160" t="str">
        <f>+alph!A80</f>
        <v>CA</v>
      </c>
      <c r="B81" s="23" t="s">
        <v>595</v>
      </c>
      <c r="C81" s="67">
        <v>4.5</v>
      </c>
      <c r="D81" s="2" t="s">
        <v>117</v>
      </c>
      <c r="E81" s="71" t="s">
        <v>596</v>
      </c>
    </row>
    <row r="82" spans="1:32" x14ac:dyDescent="0.35">
      <c r="A82" s="160" t="str">
        <f>+alph!A81</f>
        <v>CB</v>
      </c>
      <c r="B82" s="2" t="s">
        <v>212</v>
      </c>
      <c r="C82" s="65">
        <v>11</v>
      </c>
      <c r="D82" s="2" t="s">
        <v>271</v>
      </c>
      <c r="E82" s="2" t="s">
        <v>621</v>
      </c>
    </row>
    <row r="83" spans="1:32" ht="43.5" x14ac:dyDescent="0.35">
      <c r="A83" s="160" t="str">
        <f>+alph!A82</f>
        <v>CC</v>
      </c>
      <c r="B83" s="2" t="s">
        <v>213</v>
      </c>
      <c r="C83" s="65">
        <f>+C81/(C82-1)</f>
        <v>0.45</v>
      </c>
      <c r="D83" s="2"/>
      <c r="E83" s="5" t="s">
        <v>597</v>
      </c>
    </row>
    <row r="84" spans="1:32" ht="130.5" x14ac:dyDescent="0.35">
      <c r="A84" s="160" t="str">
        <f>+alph!A83</f>
        <v>CD</v>
      </c>
      <c r="B84" s="2" t="s">
        <v>230</v>
      </c>
      <c r="C84" s="65">
        <v>13.25</v>
      </c>
      <c r="D84" s="2" t="s">
        <v>231</v>
      </c>
      <c r="E84" s="5" t="s">
        <v>585</v>
      </c>
    </row>
    <row r="85" spans="1:32" x14ac:dyDescent="0.35">
      <c r="A85" s="160" t="str">
        <f>+alph!A84</f>
        <v>CE</v>
      </c>
      <c r="B85" s="2" t="s">
        <v>232</v>
      </c>
      <c r="C85" s="65">
        <v>4</v>
      </c>
      <c r="D85" s="2" t="s">
        <v>271</v>
      </c>
      <c r="E85" s="2" t="s">
        <v>633</v>
      </c>
    </row>
    <row r="86" spans="1:32" ht="58" x14ac:dyDescent="0.35">
      <c r="A86" s="160" t="str">
        <f>+alph!A85</f>
        <v>CF</v>
      </c>
      <c r="B86" s="2" t="s">
        <v>213</v>
      </c>
      <c r="C86" s="65">
        <v>0.33329999999999999</v>
      </c>
      <c r="D86" s="5" t="s">
        <v>117</v>
      </c>
      <c r="E86" s="5" t="s">
        <v>587</v>
      </c>
    </row>
    <row r="87" spans="1:32" ht="43.5" x14ac:dyDescent="0.35">
      <c r="A87" s="160" t="str">
        <f>+alph!A86</f>
        <v>CG</v>
      </c>
      <c r="B87" s="2" t="s">
        <v>233</v>
      </c>
      <c r="C87" s="65">
        <f>+C84-(+(C85-1)*0.3333)</f>
        <v>12.2501</v>
      </c>
      <c r="D87" s="2" t="s">
        <v>231</v>
      </c>
      <c r="E87" s="5" t="s">
        <v>586</v>
      </c>
    </row>
    <row r="88" spans="1:32" x14ac:dyDescent="0.35">
      <c r="A88" s="160" t="str">
        <f>+alph!A87</f>
        <v>CH</v>
      </c>
      <c r="B88" s="3" t="s">
        <v>588</v>
      </c>
      <c r="C88" s="65">
        <f>+C87</f>
        <v>12.2501</v>
      </c>
    </row>
    <row r="89" spans="1:32" x14ac:dyDescent="0.35">
      <c r="A89" s="160" t="str">
        <f>+alph!A88</f>
        <v>CI</v>
      </c>
      <c r="B89" s="3" t="s">
        <v>589</v>
      </c>
      <c r="C89" s="65">
        <f>+C88+$C$86</f>
        <v>12.583399999999999</v>
      </c>
    </row>
    <row r="90" spans="1:32" x14ac:dyDescent="0.35">
      <c r="A90" s="160" t="str">
        <f>+alph!A89</f>
        <v>CJ</v>
      </c>
      <c r="B90" s="3" t="s">
        <v>590</v>
      </c>
      <c r="C90" s="65">
        <f>+C89+$C$86</f>
        <v>12.916699999999999</v>
      </c>
    </row>
    <row r="91" spans="1:32" x14ac:dyDescent="0.35">
      <c r="A91" s="160" t="str">
        <f>+alph!A90</f>
        <v>CK</v>
      </c>
      <c r="B91" s="3" t="s">
        <v>591</v>
      </c>
      <c r="C91" s="65">
        <f>+C90+$C$86</f>
        <v>13.249999999999998</v>
      </c>
    </row>
    <row r="92" spans="1:32" x14ac:dyDescent="0.35">
      <c r="A92" s="160" t="str">
        <f>+alph!A91</f>
        <v>CL</v>
      </c>
      <c r="B92" s="6"/>
      <c r="C92" s="32"/>
      <c r="D92" s="32"/>
    </row>
    <row r="93" spans="1:32" s="39" customFormat="1" ht="56" customHeight="1" x14ac:dyDescent="0.45">
      <c r="A93" s="192" t="s">
        <v>961</v>
      </c>
      <c r="B93" s="211" t="s">
        <v>949</v>
      </c>
      <c r="C93" s="212"/>
      <c r="D93" s="212"/>
      <c r="E93" s="212"/>
      <c r="G93" s="97"/>
      <c r="AF93" s="41"/>
    </row>
    <row r="94" spans="1:32" s="55" customFormat="1" ht="87" x14ac:dyDescent="0.35">
      <c r="A94" s="160" t="str">
        <f>+alph!A93</f>
        <v>CN</v>
      </c>
      <c r="B94" s="98" t="s">
        <v>446</v>
      </c>
      <c r="C94" s="85">
        <v>4.4000000000000004</v>
      </c>
      <c r="D94" s="85" t="s">
        <v>447</v>
      </c>
      <c r="E94" s="82" t="s">
        <v>611</v>
      </c>
      <c r="AF94" s="37"/>
    </row>
    <row r="95" spans="1:32" s="55" customFormat="1" ht="116" x14ac:dyDescent="0.35">
      <c r="A95" s="160" t="str">
        <f>+alph!A94</f>
        <v>CO</v>
      </c>
      <c r="B95" s="98"/>
      <c r="C95" s="99">
        <v>0.2</v>
      </c>
      <c r="D95" s="85" t="s">
        <v>447</v>
      </c>
      <c r="E95" s="82" t="s">
        <v>612</v>
      </c>
      <c r="AF95" s="37"/>
    </row>
    <row r="96" spans="1:32" s="55" customFormat="1" ht="72.5" x14ac:dyDescent="0.35">
      <c r="A96" s="160" t="str">
        <f>+alph!A95</f>
        <v>CP</v>
      </c>
      <c r="B96" s="98" t="s">
        <v>614</v>
      </c>
      <c r="C96" s="85">
        <f>1+(C94-1)*(1-C95)</f>
        <v>3.7200000000000006</v>
      </c>
      <c r="D96" s="85" t="s">
        <v>447</v>
      </c>
      <c r="E96" s="82" t="str">
        <f>+"1+("&amp;TEXT(A94,0)&amp;"-1)*(1-"&amp;TEXT(A95,0)&amp;") Adjust above downward because the moist outside off the bag conducts heat better than the air layer clinging to a dry bag"</f>
        <v>1+(CN-1)*(1-CO) Adjust above downward because the moist outside off the bag conducts heat better than the air layer clinging to a dry bag</v>
      </c>
      <c r="AF96" s="37"/>
    </row>
    <row r="97" spans="1:32" s="39" customFormat="1" ht="44.5" customHeight="1" x14ac:dyDescent="0.35">
      <c r="A97" s="160" t="str">
        <f>+alph!A96</f>
        <v>CQ</v>
      </c>
      <c r="B97" s="213" t="s">
        <v>616</v>
      </c>
      <c r="C97" s="214"/>
      <c r="D97" s="214"/>
      <c r="E97" s="214"/>
      <c r="G97" s="97"/>
      <c r="AF97" s="41"/>
    </row>
    <row r="98" spans="1:32" s="55" customFormat="1" ht="99" customHeight="1" x14ac:dyDescent="0.35">
      <c r="A98" s="160" t="str">
        <f>+alph!A97</f>
        <v>CR</v>
      </c>
      <c r="B98" s="82" t="s">
        <v>615</v>
      </c>
      <c r="C98" s="102">
        <f>+C20</f>
        <v>55.65</v>
      </c>
      <c r="D98" s="85" t="s">
        <v>121</v>
      </c>
      <c r="E98" s="82" t="str">
        <f>"The air just outside the bag is cooled to the wetbulb temperature (see weather data).  Were it not for the thin layer of air clinging to the bag (or any such object), it would cool even further (to the dew point).  Repeat of "&amp;TEXT(A20,0)&amp;". Note: bag wet enough to not dry out during the relevant time period"</f>
        <v>The air just outside the bag is cooled to the wetbulb temperature (see weather data).  Were it not for the thin layer of air clinging to the bag (or any such object), it would cool even further (to the dew point).  Repeat of R. Note: bag wet enough to not dry out during the relevant time period</v>
      </c>
      <c r="AF98" s="37"/>
    </row>
    <row r="99" spans="1:32" s="55" customFormat="1" ht="43.5" x14ac:dyDescent="0.35">
      <c r="A99" s="160" t="str">
        <f>+alph!A98</f>
        <v>CS</v>
      </c>
      <c r="B99" s="82" t="s">
        <v>613</v>
      </c>
      <c r="C99" s="102">
        <f>+C17</f>
        <v>44.779499999999999</v>
      </c>
      <c r="D99" s="85" t="s">
        <v>121</v>
      </c>
      <c r="E99" s="82" t="str">
        <f>+"Repeat of "&amp;TEXT(A17,0)&amp;". "</f>
        <v xml:space="preserve">Repeat of O. </v>
      </c>
      <c r="AF99" s="37"/>
    </row>
    <row r="100" spans="1:32" s="55" customFormat="1" ht="58" x14ac:dyDescent="0.35">
      <c r="A100" s="160" t="str">
        <f>+alph!A99</f>
        <v>CT</v>
      </c>
      <c r="B100" s="82" t="s">
        <v>469</v>
      </c>
      <c r="C100" s="102">
        <f>+C98-C99</f>
        <v>10.8705</v>
      </c>
      <c r="D100" s="85" t="s">
        <v>121</v>
      </c>
      <c r="E100" s="5" t="str">
        <f>+TEXT(A98,0)&amp;"-"&amp;TEXT(A99,0)</f>
        <v>CR-CS</v>
      </c>
      <c r="AF100" s="37"/>
    </row>
    <row r="101" spans="1:32" s="55" customFormat="1" ht="69.5" customHeight="1" x14ac:dyDescent="0.35">
      <c r="A101" s="160" t="str">
        <f>+alph!A100</f>
        <v>CU</v>
      </c>
      <c r="B101" s="82" t="s">
        <v>470</v>
      </c>
      <c r="C101" s="85">
        <f>-gas!N30</f>
        <v>0.53442415823563039</v>
      </c>
      <c r="D101" s="85" t="s">
        <v>149</v>
      </c>
      <c r="E101" s="5" t="str">
        <f>+"See gas law calculations, row "&amp;TEXT(gas!A30,0)&amp;" Row "&amp;TEXT(gas!N16,0)&amp;".  This result is used to predict ball pressure at different times as the ball warm to match the bag temperature"</f>
        <v>See gas law calculations, row Gas_Y Row 13.  This result is used to predict ball pressure at different times as the ball warm to match the bag temperature</v>
      </c>
      <c r="AF101" s="37"/>
    </row>
    <row r="102" spans="1:32" s="55" customFormat="1" ht="74" customHeight="1" x14ac:dyDescent="0.35">
      <c r="A102" s="160" t="str">
        <f>+alph!A101</f>
        <v>CV</v>
      </c>
      <c r="B102" s="209" t="s">
        <v>617</v>
      </c>
      <c r="C102" s="214"/>
      <c r="D102" s="214"/>
      <c r="E102" s="214"/>
      <c r="AF102" s="37"/>
    </row>
    <row r="103" spans="1:32" s="55" customFormat="1" ht="61.5" customHeight="1" x14ac:dyDescent="0.35">
      <c r="A103" s="160" t="str">
        <f>+alph!A102</f>
        <v>CW</v>
      </c>
      <c r="B103" s="209" t="s">
        <v>619</v>
      </c>
      <c r="C103" s="214"/>
      <c r="D103" s="214"/>
      <c r="E103" s="214"/>
      <c r="AF103" s="37"/>
    </row>
    <row r="104" spans="1:32" s="55" customFormat="1" ht="47.5" customHeight="1" x14ac:dyDescent="0.35">
      <c r="A104" s="160" t="str">
        <f>+alph!A103</f>
        <v>CX</v>
      </c>
      <c r="B104" s="209" t="s">
        <v>618</v>
      </c>
      <c r="C104" s="214"/>
      <c r="D104" s="214"/>
      <c r="E104" s="214"/>
      <c r="AF104" s="37"/>
    </row>
    <row r="105" spans="1:32" s="55" customFormat="1" ht="47.5" customHeight="1" x14ac:dyDescent="0.35">
      <c r="A105" s="160" t="str">
        <f>+alph!A104</f>
        <v>CY</v>
      </c>
      <c r="B105" s="209" t="s">
        <v>620</v>
      </c>
      <c r="C105" s="214"/>
      <c r="D105" s="214"/>
      <c r="E105" s="214"/>
      <c r="AF105" s="37"/>
    </row>
    <row r="106" spans="1:32" s="33" customFormat="1" x14ac:dyDescent="0.35">
      <c r="A106" s="192" t="s">
        <v>961</v>
      </c>
      <c r="B106" s="34" t="s">
        <v>688</v>
      </c>
      <c r="C106" s="35"/>
      <c r="D106" s="35"/>
      <c r="G106" s="57"/>
      <c r="AF106" s="42"/>
    </row>
    <row r="107" spans="1:32" ht="43.5" x14ac:dyDescent="0.35">
      <c r="A107" s="160" t="str">
        <f>+alph!A106</f>
        <v>DA</v>
      </c>
      <c r="B107" s="5"/>
      <c r="C107" s="48" t="s">
        <v>92</v>
      </c>
      <c r="D107" s="5" t="s">
        <v>148</v>
      </c>
      <c r="E107" s="5" t="s">
        <v>601</v>
      </c>
    </row>
    <row r="108" spans="1:32" ht="29" x14ac:dyDescent="0.35">
      <c r="A108" s="160" t="str">
        <f>+alph!A107</f>
        <v>DB</v>
      </c>
      <c r="B108" s="71" t="s">
        <v>637</v>
      </c>
      <c r="C108" s="62">
        <v>10</v>
      </c>
      <c r="D108" s="5" t="s">
        <v>271</v>
      </c>
      <c r="E108" s="5" t="s">
        <v>621</v>
      </c>
    </row>
    <row r="109" spans="1:32" x14ac:dyDescent="0.35">
      <c r="A109" s="160" t="str">
        <f>+alph!A108</f>
        <v>DC</v>
      </c>
      <c r="B109" s="71" t="s">
        <v>636</v>
      </c>
      <c r="C109" s="48">
        <f>+C80</f>
        <v>4</v>
      </c>
      <c r="D109" s="5" t="s">
        <v>623</v>
      </c>
      <c r="E109" s="82" t="str">
        <f>+"Repeat of "&amp;TEXT(A80,0)&amp;". "</f>
        <v xml:space="preserve">Repeat of BZ. </v>
      </c>
    </row>
    <row r="110" spans="1:32" x14ac:dyDescent="0.35">
      <c r="A110" s="160" t="str">
        <f>+alph!A109</f>
        <v>DD</v>
      </c>
      <c r="B110" s="71" t="s">
        <v>622</v>
      </c>
      <c r="C110" s="48">
        <f>+C83</f>
        <v>0.45</v>
      </c>
      <c r="D110" s="5" t="s">
        <v>623</v>
      </c>
      <c r="E110" s="82" t="str">
        <f>+"Repeat of "&amp;TEXT(A83,0)&amp;". "</f>
        <v xml:space="preserve">Repeat of CC. </v>
      </c>
    </row>
    <row r="111" spans="1:32" ht="29" x14ac:dyDescent="0.35">
      <c r="A111" s="160" t="str">
        <f>+alph!A110</f>
        <v>DE</v>
      </c>
      <c r="B111" s="71" t="s">
        <v>624</v>
      </c>
      <c r="C111" s="48">
        <f>+C109+C110*(C108-1)</f>
        <v>8.0500000000000007</v>
      </c>
      <c r="D111" s="5" t="s">
        <v>634</v>
      </c>
      <c r="E111" s="5" t="str">
        <f>+TEXT(A12,0)&amp;"+"&amp;TEXT(A110,0)&amp;"*("&amp;TEXT(A108,0)&amp;"-1)"</f>
        <v>J+DD*(DB-1)</v>
      </c>
    </row>
    <row r="112" spans="1:32" ht="29" x14ac:dyDescent="0.35">
      <c r="A112" s="160" t="str">
        <f>+alph!A111</f>
        <v>DF</v>
      </c>
      <c r="B112" s="71" t="s">
        <v>625</v>
      </c>
      <c r="C112" s="48">
        <f>+C96</f>
        <v>3.7200000000000006</v>
      </c>
      <c r="D112" s="5" t="s">
        <v>447</v>
      </c>
      <c r="E112" s="82" t="str">
        <f>+"Repeat of "&amp;TEXT(A96,0)&amp;". "</f>
        <v xml:space="preserve">Repeat of CP. </v>
      </c>
    </row>
    <row r="113" spans="1:32" ht="58" x14ac:dyDescent="0.35">
      <c r="A113" s="160" t="str">
        <f>+alph!A112</f>
        <v>DG</v>
      </c>
      <c r="B113" s="71" t="s">
        <v>626</v>
      </c>
      <c r="C113" s="48">
        <f>+C111/C112</f>
        <v>2.1639784946236555</v>
      </c>
      <c r="D113" s="5" t="s">
        <v>635</v>
      </c>
      <c r="E113" s="5" t="str">
        <f>+TEXT(A111,0)&amp;"/"&amp;TEXT(A112,0)</f>
        <v>DE/DF</v>
      </c>
    </row>
    <row r="114" spans="1:32" ht="58" x14ac:dyDescent="0.35">
      <c r="A114" s="160" t="str">
        <f>+alph!A113</f>
        <v>DH</v>
      </c>
      <c r="B114" s="5" t="s">
        <v>598</v>
      </c>
      <c r="C114" s="5">
        <f>+VLOOKUP(C$113,TCrv,1)</f>
        <v>0.5</v>
      </c>
      <c r="D114" s="5" t="s">
        <v>635</v>
      </c>
      <c r="E114" s="5" t="s">
        <v>674</v>
      </c>
      <c r="AD114" s="1"/>
      <c r="AF114"/>
    </row>
    <row r="115" spans="1:32" ht="58" x14ac:dyDescent="0.35">
      <c r="A115" s="160" t="str">
        <f>+alph!A114</f>
        <v>DI</v>
      </c>
      <c r="B115" s="5" t="s">
        <v>627</v>
      </c>
      <c r="C115" s="48">
        <f>+C113-C114</f>
        <v>1.6639784946236555</v>
      </c>
      <c r="D115" s="5" t="s">
        <v>635</v>
      </c>
      <c r="E115" s="5" t="str">
        <f>+TEXT(A108,0)&amp;"-"&amp;TEXT(A114,0)</f>
        <v>DB-DH</v>
      </c>
      <c r="AD115" s="1"/>
      <c r="AF115"/>
    </row>
    <row r="116" spans="1:32" ht="29" x14ac:dyDescent="0.35">
      <c r="A116" s="160" t="str">
        <f>+alph!A115</f>
        <v>DJ</v>
      </c>
      <c r="B116" s="5" t="s">
        <v>207</v>
      </c>
      <c r="C116" s="19">
        <f>+VLOOKUP(C$113,TCrv,2)</f>
        <v>2.885605383917856E-2</v>
      </c>
      <c r="D116" s="5" t="s">
        <v>150</v>
      </c>
      <c r="E116" s="71" t="s">
        <v>603</v>
      </c>
      <c r="AD116" s="1"/>
      <c r="AF116"/>
    </row>
    <row r="117" spans="1:32" ht="43.5" x14ac:dyDescent="0.35">
      <c r="A117" s="160" t="str">
        <f>+alph!A116</f>
        <v>DK</v>
      </c>
      <c r="B117" s="5" t="s">
        <v>208</v>
      </c>
      <c r="C117" s="19">
        <f>+VLOOKUP(C$113,TCrv,3)</f>
        <v>0.10099618843712252</v>
      </c>
      <c r="D117" s="5" t="s">
        <v>150</v>
      </c>
      <c r="E117" s="71" t="s">
        <v>604</v>
      </c>
      <c r="AD117" s="1"/>
      <c r="AF117"/>
    </row>
    <row r="118" spans="1:32" ht="43.5" x14ac:dyDescent="0.35">
      <c r="A118" s="160" t="str">
        <f>+alph!A117</f>
        <v>DL</v>
      </c>
      <c r="B118" s="5" t="s">
        <v>609</v>
      </c>
      <c r="C118" s="19">
        <f>+C116+C117*C115</f>
        <v>0.19691153943750872</v>
      </c>
      <c r="D118" s="5" t="s">
        <v>150</v>
      </c>
      <c r="E118" s="5" t="str">
        <f>+TEXT(A116,0)&amp;"+"&amp;TEXT(A117,0)&amp;"*"&amp;TEXT(A115,0)</f>
        <v>DJ+DK*DI</v>
      </c>
      <c r="AD118" s="1"/>
      <c r="AF118"/>
    </row>
    <row r="119" spans="1:32" ht="29" x14ac:dyDescent="0.35">
      <c r="A119" s="160" t="str">
        <f>+alph!A118</f>
        <v>DM</v>
      </c>
      <c r="B119" s="5" t="s">
        <v>608</v>
      </c>
      <c r="C119" s="95">
        <f>+C101</f>
        <v>0.53442415823563039</v>
      </c>
      <c r="D119" s="5" t="s">
        <v>149</v>
      </c>
      <c r="E119" s="5" t="str">
        <f>+"See row "&amp;TEXT(A63,0)</f>
        <v>See row BI</v>
      </c>
      <c r="AD119" s="1"/>
      <c r="AF119"/>
    </row>
    <row r="120" spans="1:32" ht="29" x14ac:dyDescent="0.35">
      <c r="A120" s="160" t="str">
        <f>+alph!A119</f>
        <v>DN</v>
      </c>
      <c r="B120" s="5" t="s">
        <v>717</v>
      </c>
      <c r="C120" s="47">
        <f>+C118*C119</f>
        <v>0.10523428371077273</v>
      </c>
      <c r="D120" s="5" t="s">
        <v>149</v>
      </c>
      <c r="E120" s="5" t="str">
        <f>+TEXT(A118,0)&amp;"*"&amp;TEXT(A119,0)</f>
        <v>DL*DM</v>
      </c>
      <c r="AE120" s="1"/>
      <c r="AF120"/>
    </row>
    <row r="121" spans="1:32" ht="43.5" x14ac:dyDescent="0.35">
      <c r="A121" s="160" t="str">
        <f>+alph!A120</f>
        <v>DO</v>
      </c>
      <c r="B121" s="84" t="s">
        <v>718</v>
      </c>
      <c r="C121" s="115">
        <f>+gas!C52</f>
        <v>1.3293650793650715E-3</v>
      </c>
      <c r="D121" s="84" t="s">
        <v>714</v>
      </c>
      <c r="E121" s="84" t="str">
        <f>+"See gas law calculations, row "&amp;TEXT(gas!A52,0)</f>
        <v>See gas law calculations, row Gas_AR</v>
      </c>
      <c r="G121" s="78"/>
      <c r="AE121" s="1"/>
      <c r="AF121"/>
    </row>
    <row r="122" spans="1:32" ht="43.5" x14ac:dyDescent="0.35">
      <c r="A122" s="160" t="str">
        <f>+alph!A121</f>
        <v>DP</v>
      </c>
      <c r="B122" s="84" t="s">
        <v>719</v>
      </c>
      <c r="C122" s="69">
        <f>+C121*C111</f>
        <v>1.0701388888888826E-2</v>
      </c>
      <c r="D122" s="84" t="s">
        <v>149</v>
      </c>
      <c r="E122" s="84" t="str">
        <f>+TEXT(A121,0)&amp;"*"&amp;TEXT(A111,0)</f>
        <v>DO*DE</v>
      </c>
      <c r="G122" s="78"/>
      <c r="AE122" s="1"/>
      <c r="AF122"/>
    </row>
    <row r="123" spans="1:32" x14ac:dyDescent="0.35">
      <c r="A123" s="160" t="str">
        <f>+alph!A122</f>
        <v>DQ</v>
      </c>
      <c r="B123" s="5" t="s">
        <v>631</v>
      </c>
      <c r="C123" s="47">
        <f>+C74</f>
        <v>10.666370855260029</v>
      </c>
      <c r="D123" s="5" t="s">
        <v>149</v>
      </c>
      <c r="E123" s="82" t="str">
        <f>+"Repeat of "&amp;TEXT(A74,0)&amp;". "</f>
        <v xml:space="preserve">Repeat of BT. </v>
      </c>
      <c r="AE123" s="1"/>
      <c r="AF123"/>
    </row>
    <row r="124" spans="1:32" s="55" customFormat="1" ht="72.5" x14ac:dyDescent="0.35">
      <c r="A124" s="160" t="str">
        <f>+alph!A123</f>
        <v>DR</v>
      </c>
      <c r="B124" s="98" t="s">
        <v>720</v>
      </c>
      <c r="C124" s="85">
        <f>++C120+C123-C122</f>
        <v>10.760903750081914</v>
      </c>
      <c r="D124" s="85" t="s">
        <v>149</v>
      </c>
      <c r="E124" s="5" t="str">
        <f>+TEXT(A120,0)&amp;"+"&amp;TEXT(A123,0)&amp;"-"&amp;TEXT(A122,0)</f>
        <v>DN+DQ-DP</v>
      </c>
      <c r="AF124" s="37"/>
    </row>
    <row r="125" spans="1:32" s="55" customFormat="1" ht="87" x14ac:dyDescent="0.35">
      <c r="A125" s="160" t="str">
        <f>+alph!A124</f>
        <v>DS</v>
      </c>
      <c r="B125" s="98" t="s">
        <v>665</v>
      </c>
      <c r="C125" s="85">
        <f>+C124*1.05-0.2836</f>
        <v>11.01534893758601</v>
      </c>
      <c r="D125" s="85" t="s">
        <v>149</v>
      </c>
      <c r="E125" s="82" t="s">
        <v>632</v>
      </c>
      <c r="AF125" s="37"/>
    </row>
    <row r="126" spans="1:32" s="55" customFormat="1" ht="43.5" x14ac:dyDescent="0.35">
      <c r="A126" s="160" t="str">
        <f>+alph!A125</f>
        <v>DT</v>
      </c>
      <c r="B126" s="64" t="s">
        <v>664</v>
      </c>
      <c r="C126" s="49">
        <v>10.9</v>
      </c>
      <c r="D126" s="49" t="s">
        <v>149</v>
      </c>
      <c r="E126" s="18" t="s">
        <v>633</v>
      </c>
      <c r="AF126" s="37"/>
    </row>
    <row r="127" spans="1:32" s="78" customFormat="1" ht="87" x14ac:dyDescent="0.35">
      <c r="A127" s="160" t="str">
        <f>+alph!A126</f>
        <v>DU</v>
      </c>
      <c r="B127" s="103" t="s">
        <v>951</v>
      </c>
      <c r="C127" s="85">
        <f>+C125-C126</f>
        <v>0.11534893758600973</v>
      </c>
      <c r="D127" s="85" t="s">
        <v>149</v>
      </c>
      <c r="E127" s="84" t="str">
        <f>+TEXT(A125,0)&amp;"-"&amp;TEXT(A126,0)</f>
        <v>DS-DT</v>
      </c>
      <c r="AF127" s="37"/>
    </row>
    <row r="128" spans="1:32" s="55" customFormat="1" ht="45" customHeight="1" x14ac:dyDescent="0.35">
      <c r="A128" s="160" t="str">
        <f>+alph!A127</f>
        <v>DV</v>
      </c>
      <c r="B128" s="215" t="s">
        <v>952</v>
      </c>
      <c r="C128" s="214"/>
      <c r="D128" s="214"/>
      <c r="E128" s="214"/>
      <c r="AF128" s="37"/>
    </row>
    <row r="129" spans="1:32" s="55" customFormat="1" ht="32.5" customHeight="1" x14ac:dyDescent="0.35">
      <c r="A129" s="160" t="str">
        <f>+alph!A128</f>
        <v>DW</v>
      </c>
      <c r="B129" s="98" t="s">
        <v>628</v>
      </c>
      <c r="C129" s="48">
        <f>+gas!C43</f>
        <v>0.14267741276248103</v>
      </c>
      <c r="D129" s="5" t="s">
        <v>149</v>
      </c>
      <c r="E129" s="5" t="s">
        <v>629</v>
      </c>
      <c r="AF129" s="37"/>
    </row>
    <row r="130" spans="1:32" s="55" customFormat="1" ht="56.5" customHeight="1" x14ac:dyDescent="0.35">
      <c r="A130" s="160" t="str">
        <f>+alph!A129</f>
        <v>DX</v>
      </c>
      <c r="B130" s="98" t="s">
        <v>722</v>
      </c>
      <c r="C130" s="19">
        <f>+(C127-C122)/C129</f>
        <v>0.73345560920235164</v>
      </c>
      <c r="D130" s="5" t="s">
        <v>150</v>
      </c>
      <c r="E130" s="129" t="str">
        <f>+"("&amp;TEXT(A127,0)&amp;"-"&amp;TEXT(A122,0)&amp;")/"&amp;TEXT(A129,0)</f>
        <v>(DU-DP)/DW</v>
      </c>
      <c r="AF130" s="37"/>
    </row>
    <row r="131" spans="1:32" s="55" customFormat="1" ht="32.5" customHeight="1" x14ac:dyDescent="0.35">
      <c r="A131" s="160" t="str">
        <f>+alph!A130</f>
        <v>DY</v>
      </c>
      <c r="B131" s="98" t="s">
        <v>721</v>
      </c>
      <c r="C131" s="48">
        <f>+C125-C129</f>
        <v>10.872671524823529</v>
      </c>
      <c r="D131" s="5" t="s">
        <v>149</v>
      </c>
      <c r="E131" s="5" t="s">
        <v>630</v>
      </c>
      <c r="AF131" s="37"/>
    </row>
    <row r="132" spans="1:32" s="55" customFormat="1" ht="43.5" customHeight="1" x14ac:dyDescent="0.35">
      <c r="A132" s="160" t="str">
        <f>+alph!A131</f>
        <v>DZ</v>
      </c>
      <c r="B132" s="216"/>
      <c r="C132" s="217"/>
      <c r="D132" s="217"/>
      <c r="E132" s="217"/>
      <c r="AF132" s="37"/>
    </row>
    <row r="133" spans="1:32" s="55" customFormat="1" x14ac:dyDescent="0.35">
      <c r="A133" s="160" t="str">
        <f>+alph!A132</f>
        <v>EA</v>
      </c>
      <c r="B133" s="72"/>
      <c r="C133" s="73"/>
      <c r="D133" s="73"/>
      <c r="E133" s="75"/>
      <c r="AF133" s="37"/>
    </row>
    <row r="134" spans="1:32" s="33" customFormat="1" ht="21" x14ac:dyDescent="0.5">
      <c r="A134" s="192" t="s">
        <v>961</v>
      </c>
      <c r="B134" s="186" t="s">
        <v>984</v>
      </c>
      <c r="C134" s="35"/>
      <c r="D134" s="35"/>
      <c r="G134" s="57"/>
      <c r="AF134" s="42"/>
    </row>
    <row r="135" spans="1:32" ht="29" x14ac:dyDescent="0.35">
      <c r="A135" s="160" t="str">
        <f>+alph!A134</f>
        <v>EC</v>
      </c>
      <c r="B135" s="82" t="s">
        <v>579</v>
      </c>
      <c r="C135" s="91">
        <f>+C17</f>
        <v>44.779499999999999</v>
      </c>
      <c r="D135" s="88"/>
      <c r="E135" s="82" t="s">
        <v>594</v>
      </c>
    </row>
    <row r="136" spans="1:32" x14ac:dyDescent="0.35">
      <c r="A136" s="160" t="str">
        <f>+alph!A135</f>
        <v>ED</v>
      </c>
      <c r="B136" s="82"/>
      <c r="C136" s="92" t="s">
        <v>671</v>
      </c>
      <c r="D136" s="93" t="s">
        <v>672</v>
      </c>
      <c r="E136" s="76"/>
    </row>
    <row r="137" spans="1:32" x14ac:dyDescent="0.35">
      <c r="A137" s="160" t="str">
        <f>+alph!A136</f>
        <v>EE</v>
      </c>
      <c r="B137" s="82" t="s">
        <v>578</v>
      </c>
      <c r="C137" s="87">
        <f>+C73</f>
        <v>10.716370855260029</v>
      </c>
      <c r="D137" s="89">
        <f>+C74</f>
        <v>10.666370855260029</v>
      </c>
      <c r="E137" s="169" t="str">
        <f>+"See row "&amp;TEXT(A73,0)</f>
        <v>See row BS</v>
      </c>
    </row>
    <row r="138" spans="1:32" ht="72.5" x14ac:dyDescent="0.35">
      <c r="A138" s="160" t="str">
        <f>+alph!A137</f>
        <v>EF</v>
      </c>
      <c r="B138" s="82" t="s">
        <v>982</v>
      </c>
      <c r="C138" s="90">
        <f>+C12</f>
        <v>48</v>
      </c>
      <c r="D138" s="89">
        <f>+C138</f>
        <v>48</v>
      </c>
      <c r="E138" s="82" t="s">
        <v>593</v>
      </c>
    </row>
    <row r="139" spans="1:32" ht="43.5" x14ac:dyDescent="0.35">
      <c r="A139" s="160" t="str">
        <f>+alph!A138</f>
        <v>EG</v>
      </c>
      <c r="B139" s="82" t="s">
        <v>705</v>
      </c>
      <c r="C139" s="89">
        <f>+(C138-C135)*-1*gas!K30</f>
        <v>0.15860249478308197</v>
      </c>
      <c r="D139" s="89">
        <f>+C139</f>
        <v>0.15860249478308197</v>
      </c>
      <c r="E139" s="82" t="str">
        <f>+"About 0.049 psi per degree rise.  See row "&amp;TEXT(A39,0)</f>
        <v>About 0.049 psi per degree rise.  See row AK</v>
      </c>
    </row>
    <row r="140" spans="1:32" x14ac:dyDescent="0.35">
      <c r="A140" s="160" t="str">
        <f>+alph!A139</f>
        <v>EH</v>
      </c>
      <c r="B140" s="82" t="s">
        <v>706</v>
      </c>
      <c r="C140" s="89">
        <v>5</v>
      </c>
      <c r="D140" s="89">
        <v>5</v>
      </c>
      <c r="E140" s="82"/>
    </row>
    <row r="141" spans="1:32" ht="29" x14ac:dyDescent="0.35">
      <c r="A141" s="160" t="str">
        <f>+alph!A140</f>
        <v>EI</v>
      </c>
      <c r="B141" s="82" t="s">
        <v>707</v>
      </c>
      <c r="C141" s="109">
        <v>0.42</v>
      </c>
      <c r="D141" s="109">
        <v>0.53</v>
      </c>
      <c r="E141" s="82"/>
    </row>
    <row r="142" spans="1:32" x14ac:dyDescent="0.35">
      <c r="A142" s="160" t="str">
        <f>+alph!A141</f>
        <v>EJ</v>
      </c>
      <c r="B142" s="82" t="s">
        <v>66</v>
      </c>
      <c r="C142" s="68">
        <f>+C141*C139</f>
        <v>6.6613047808894432E-2</v>
      </c>
      <c r="D142" s="68">
        <f>+D141*D139</f>
        <v>8.4059322235033443E-2</v>
      </c>
      <c r="E142" s="82"/>
    </row>
    <row r="143" spans="1:32" ht="29" x14ac:dyDescent="0.35">
      <c r="A143" s="160" t="str">
        <f>+alph!A142</f>
        <v>EK</v>
      </c>
      <c r="B143" s="82" t="s">
        <v>580</v>
      </c>
      <c r="C143" s="89">
        <f>C142+C137</f>
        <v>10.782983903068924</v>
      </c>
      <c r="D143" s="89">
        <f>D142+D137</f>
        <v>10.750430177495062</v>
      </c>
      <c r="E143" s="70"/>
    </row>
    <row r="144" spans="1:32" ht="43.5" x14ac:dyDescent="0.35">
      <c r="A144" s="160" t="str">
        <f>+alph!A143</f>
        <v>EL</v>
      </c>
      <c r="B144" s="82" t="s">
        <v>581</v>
      </c>
      <c r="C144" s="89">
        <f>+C143*1.05-0.2836</f>
        <v>11.038533098222372</v>
      </c>
      <c r="D144" s="89">
        <f>+D143*1.05-0.2836</f>
        <v>11.004351686369816</v>
      </c>
      <c r="E144" s="70"/>
    </row>
    <row r="145" spans="1:32" x14ac:dyDescent="0.35">
      <c r="A145" s="160" t="str">
        <f>+alph!A144</f>
        <v>EM</v>
      </c>
      <c r="B145" s="82" t="s">
        <v>667</v>
      </c>
      <c r="C145" s="205" t="s">
        <v>668</v>
      </c>
      <c r="D145" s="206"/>
      <c r="E145" s="70" t="s">
        <v>669</v>
      </c>
    </row>
    <row r="146" spans="1:32" x14ac:dyDescent="0.35">
      <c r="A146" s="160" t="str">
        <f>+alph!A145</f>
        <v>EN</v>
      </c>
      <c r="B146" s="218" t="s">
        <v>670</v>
      </c>
      <c r="C146" s="219"/>
      <c r="D146" s="219"/>
      <c r="E146" s="220"/>
    </row>
    <row r="147" spans="1:32" ht="29" x14ac:dyDescent="0.35">
      <c r="A147" s="160" t="str">
        <f>+alph!A146</f>
        <v>EO</v>
      </c>
      <c r="B147" s="82" t="s">
        <v>582</v>
      </c>
      <c r="C147" s="89">
        <f>+C76-C142</f>
        <v>1.4028293004668204</v>
      </c>
      <c r="D147" s="89">
        <f>+D76-D142</f>
        <v>1.363471017148951</v>
      </c>
      <c r="E147" s="82" t="s">
        <v>666</v>
      </c>
    </row>
    <row r="148" spans="1:32" x14ac:dyDescent="0.35">
      <c r="A148" s="84" t="str">
        <f>+alph!A132</f>
        <v>EA</v>
      </c>
      <c r="B148" s="100"/>
      <c r="C148" s="104"/>
      <c r="D148" s="104"/>
      <c r="E148" s="100"/>
    </row>
    <row r="149" spans="1:32" x14ac:dyDescent="0.35">
      <c r="A149" s="84" t="str">
        <f>+alph!A133</f>
        <v>EB</v>
      </c>
      <c r="B149" s="100"/>
      <c r="C149" s="104"/>
      <c r="D149" s="104"/>
      <c r="E149" s="100"/>
    </row>
    <row r="150" spans="1:32" ht="50" customHeight="1" x14ac:dyDescent="0.35">
      <c r="A150" s="84" t="str">
        <f>+alph!A134</f>
        <v>EC</v>
      </c>
      <c r="B150" s="198" t="s">
        <v>690</v>
      </c>
      <c r="C150" s="199"/>
      <c r="D150" s="199"/>
      <c r="E150" s="199"/>
    </row>
    <row r="151" spans="1:32" ht="74" customHeight="1" x14ac:dyDescent="0.35">
      <c r="A151" s="84" t="str">
        <f>+alph!A135</f>
        <v>ED</v>
      </c>
      <c r="B151" s="198" t="s">
        <v>691</v>
      </c>
      <c r="C151" s="199"/>
      <c r="D151" s="199"/>
      <c r="E151" s="199"/>
    </row>
    <row r="152" spans="1:32" ht="36.5" customHeight="1" x14ac:dyDescent="0.35">
      <c r="A152" s="84" t="str">
        <f>+alph!A136</f>
        <v>EE</v>
      </c>
      <c r="B152" s="198" t="s">
        <v>693</v>
      </c>
      <c r="C152" s="199"/>
      <c r="D152" s="199"/>
      <c r="E152" s="199"/>
    </row>
    <row r="153" spans="1:32" ht="60.5" customHeight="1" x14ac:dyDescent="0.35">
      <c r="A153" s="84" t="str">
        <f>+alph!A138</f>
        <v>EG</v>
      </c>
      <c r="B153" s="198" t="s">
        <v>692</v>
      </c>
      <c r="C153" s="199"/>
      <c r="D153" s="199"/>
      <c r="E153" s="199"/>
    </row>
    <row r="154" spans="1:32" s="33" customFormat="1" ht="60.5" customHeight="1" x14ac:dyDescent="0.55000000000000004">
      <c r="A154" s="192" t="s">
        <v>961</v>
      </c>
      <c r="B154" s="188" t="s">
        <v>950</v>
      </c>
      <c r="C154" s="57"/>
      <c r="D154" s="57"/>
      <c r="E154" s="57"/>
      <c r="G154" s="57"/>
      <c r="AF154" s="42"/>
    </row>
    <row r="155" spans="1:32" s="33" customFormat="1" x14ac:dyDescent="0.35">
      <c r="A155" s="84" t="str">
        <f>+alph!A140</f>
        <v>EI</v>
      </c>
      <c r="B155" s="34" t="s">
        <v>687</v>
      </c>
      <c r="C155" s="35"/>
      <c r="D155" s="35"/>
      <c r="G155" s="57"/>
      <c r="AF155" s="42"/>
    </row>
    <row r="156" spans="1:32" ht="29" x14ac:dyDescent="0.35">
      <c r="A156" s="84" t="str">
        <f>+alph!A141</f>
        <v>EJ</v>
      </c>
      <c r="B156" s="5" t="s">
        <v>203</v>
      </c>
      <c r="C156" s="2">
        <f>+C157</f>
        <v>0.2</v>
      </c>
      <c r="D156" s="2" t="s">
        <v>117</v>
      </c>
      <c r="E156" s="2" t="s">
        <v>64</v>
      </c>
    </row>
    <row r="157" spans="1:32" x14ac:dyDescent="0.35">
      <c r="A157" s="84" t="str">
        <f>+alph!A142</f>
        <v>EK</v>
      </c>
      <c r="B157" s="5" t="s">
        <v>202</v>
      </c>
      <c r="C157" s="2">
        <f>3*8/2/60</f>
        <v>0.2</v>
      </c>
      <c r="D157" s="2" t="s">
        <v>117</v>
      </c>
      <c r="E157" s="2" t="s">
        <v>64</v>
      </c>
    </row>
    <row r="158" spans="1:32" x14ac:dyDescent="0.35">
      <c r="A158" s="84" t="str">
        <f>+alph!A143</f>
        <v>EL</v>
      </c>
      <c r="B158" s="5" t="s">
        <v>204</v>
      </c>
      <c r="C158" s="2">
        <v>0.15</v>
      </c>
      <c r="D158" s="2" t="s">
        <v>117</v>
      </c>
      <c r="E158" s="2" t="s">
        <v>64</v>
      </c>
    </row>
    <row r="159" spans="1:32" ht="29" x14ac:dyDescent="0.35">
      <c r="A159" s="84" t="str">
        <f>+alph!A144</f>
        <v>EM</v>
      </c>
      <c r="B159" s="5" t="s">
        <v>205</v>
      </c>
      <c r="C159" s="2">
        <v>0</v>
      </c>
      <c r="D159" s="2" t="s">
        <v>117</v>
      </c>
      <c r="E159" s="5" t="s">
        <v>583</v>
      </c>
    </row>
    <row r="160" spans="1:32" x14ac:dyDescent="0.35">
      <c r="A160" s="84" t="str">
        <f>+alph!A145</f>
        <v>EN</v>
      </c>
      <c r="B160" s="5" t="s">
        <v>206</v>
      </c>
      <c r="C160" s="65">
        <f>+C80-C157-C158-C159</f>
        <v>3.65</v>
      </c>
      <c r="D160" s="2" t="s">
        <v>117</v>
      </c>
      <c r="E160" s="160" t="str">
        <f>+TEXT(A80,0)&amp;"-"&amp;TEXT(A157,0)&amp;"-"&amp;TEXT(A158,0)&amp;"-"&amp;TEXT(A159,0)</f>
        <v>BZ-EK-EL-EM</v>
      </c>
    </row>
    <row r="161" spans="1:32" s="33" customFormat="1" x14ac:dyDescent="0.35">
      <c r="A161" s="84" t="str">
        <f>+alph!A146</f>
        <v>EO</v>
      </c>
      <c r="B161" s="34" t="s">
        <v>599</v>
      </c>
      <c r="C161" s="35"/>
      <c r="D161" s="35"/>
      <c r="G161" s="57"/>
      <c r="AF161" s="42"/>
    </row>
    <row r="162" spans="1:32" ht="43.5" x14ac:dyDescent="0.35">
      <c r="A162" s="84" t="str">
        <f>+alph!A147</f>
        <v>EP</v>
      </c>
      <c r="B162" s="5"/>
      <c r="C162" s="48" t="s">
        <v>92</v>
      </c>
      <c r="D162" s="5"/>
      <c r="E162" s="5" t="s">
        <v>601</v>
      </c>
    </row>
    <row r="163" spans="1:32" ht="29" x14ac:dyDescent="0.35">
      <c r="A163" s="84" t="str">
        <f>+alph!A148</f>
        <v>EQ</v>
      </c>
      <c r="B163" s="71" t="s">
        <v>607</v>
      </c>
      <c r="C163" s="48">
        <f>+C160</f>
        <v>3.65</v>
      </c>
      <c r="D163" s="5" t="s">
        <v>117</v>
      </c>
      <c r="E163" s="5" t="s">
        <v>606</v>
      </c>
    </row>
    <row r="164" spans="1:32" ht="43.5" x14ac:dyDescent="0.35">
      <c r="A164" s="84" t="str">
        <f>+alph!A149</f>
        <v>ER</v>
      </c>
      <c r="B164" s="5" t="s">
        <v>598</v>
      </c>
      <c r="C164" s="5">
        <f>+VLOOKUP($C$160,TcrvPD,1)</f>
        <v>3</v>
      </c>
      <c r="D164" s="5" t="s">
        <v>231</v>
      </c>
      <c r="E164" s="5" t="s">
        <v>602</v>
      </c>
      <c r="AD164" s="1"/>
      <c r="AF164"/>
    </row>
    <row r="165" spans="1:32" ht="29" x14ac:dyDescent="0.35">
      <c r="A165" s="84" t="str">
        <f>+alph!A150</f>
        <v>ES</v>
      </c>
      <c r="B165" s="5" t="s">
        <v>605</v>
      </c>
      <c r="C165" s="48">
        <f>+C163-C164</f>
        <v>0.64999999999999991</v>
      </c>
      <c r="D165" s="5" t="s">
        <v>117</v>
      </c>
      <c r="E165" s="5" t="str">
        <f>+TEXT(A163,0)&amp;"-"&amp;TEXT(A164,0)</f>
        <v>EQ-ER</v>
      </c>
      <c r="AD165" s="1"/>
      <c r="AF165"/>
    </row>
    <row r="166" spans="1:32" ht="29" x14ac:dyDescent="0.35">
      <c r="A166" s="84" t="str">
        <f>+alph!A151</f>
        <v>ET</v>
      </c>
      <c r="B166" s="5" t="s">
        <v>207</v>
      </c>
      <c r="C166" s="19">
        <f>+VLOOKUP(main!$C$160,TcrvPD,2)</f>
        <v>0.33964332989379142</v>
      </c>
      <c r="D166" s="5" t="s">
        <v>150</v>
      </c>
      <c r="E166" s="71" t="s">
        <v>603</v>
      </c>
      <c r="AD166" s="1"/>
      <c r="AF166"/>
    </row>
    <row r="167" spans="1:32" ht="43.5" x14ac:dyDescent="0.35">
      <c r="A167" s="84" t="str">
        <f>+alph!A152</f>
        <v>EU</v>
      </c>
      <c r="B167" s="5" t="s">
        <v>208</v>
      </c>
      <c r="C167" s="19">
        <f>+VLOOKUP(main!$C$160,TcrvPD,3)</f>
        <v>8.7483888002945973E-2</v>
      </c>
      <c r="D167" s="5" t="s">
        <v>150</v>
      </c>
      <c r="E167" s="71" t="s">
        <v>604</v>
      </c>
      <c r="AD167" s="1"/>
      <c r="AF167"/>
    </row>
    <row r="168" spans="1:32" ht="43.5" x14ac:dyDescent="0.35">
      <c r="A168" s="84" t="str">
        <f>+alph!A153</f>
        <v>EV</v>
      </c>
      <c r="B168" s="5" t="s">
        <v>609</v>
      </c>
      <c r="C168" s="19">
        <f>+C166+C167*C165</f>
        <v>0.3965078570957063</v>
      </c>
      <c r="D168" s="5" t="s">
        <v>150</v>
      </c>
      <c r="E168" s="5" t="str">
        <f>+TEXT(A166,0)&amp;"+"&amp;TEXT(A165,0)&amp;"*"&amp;TEXT(A168,0)</f>
        <v>ET+ES*EV</v>
      </c>
      <c r="AD168" s="1"/>
      <c r="AF168"/>
    </row>
    <row r="169" spans="1:32" ht="29" x14ac:dyDescent="0.35">
      <c r="A169" s="84" t="str">
        <f>+alph!A154</f>
        <v>EW</v>
      </c>
      <c r="B169" s="5" t="s">
        <v>608</v>
      </c>
      <c r="C169" s="95">
        <f>+C76</f>
        <v>1.4694423482757148</v>
      </c>
      <c r="D169" s="5" t="s">
        <v>149</v>
      </c>
      <c r="E169" s="5" t="str">
        <f>+"See row "&amp;TEXT(A76,0)</f>
        <v>See row BV</v>
      </c>
      <c r="AD169" s="1"/>
      <c r="AF169"/>
    </row>
    <row r="170" spans="1:32" x14ac:dyDescent="0.35">
      <c r="A170" s="84" t="str">
        <f>+alph!A155</f>
        <v>EX</v>
      </c>
      <c r="B170" s="5" t="s">
        <v>600</v>
      </c>
      <c r="C170" s="47">
        <f>+C168*C76</f>
        <v>0.58264543664048618</v>
      </c>
      <c r="D170" s="5" t="s">
        <v>149</v>
      </c>
      <c r="E170" s="5" t="str">
        <f>+TEXT(A168,0)&amp;"*"&amp;TEXT(A169,0)</f>
        <v>EV*EW</v>
      </c>
      <c r="AE170" s="1"/>
      <c r="AF170"/>
    </row>
    <row r="171" spans="1:32" ht="29" x14ac:dyDescent="0.35">
      <c r="A171" s="84" t="str">
        <f>+alph!A156</f>
        <v>EY</v>
      </c>
      <c r="B171" s="5" t="s">
        <v>209</v>
      </c>
      <c r="C171" s="50">
        <f>+C170/$C$39</f>
        <v>11.830896047801902</v>
      </c>
      <c r="D171" s="5" t="s">
        <v>121</v>
      </c>
      <c r="E171" s="5" t="str">
        <f>+TEXT(A170,0)&amp;"/"&amp;TEXT(A39,0)</f>
        <v>EX/AK</v>
      </c>
      <c r="AE171" s="1"/>
      <c r="AF171"/>
    </row>
    <row r="172" spans="1:32" ht="29" x14ac:dyDescent="0.35">
      <c r="A172" s="84" t="str">
        <f>+alph!A157</f>
        <v>EZ</v>
      </c>
      <c r="B172" s="5" t="s">
        <v>676</v>
      </c>
      <c r="C172" s="74">
        <f>+C171+C17</f>
        <v>56.610396047801899</v>
      </c>
      <c r="D172" s="5" t="s">
        <v>121</v>
      </c>
      <c r="E172" s="5" t="s">
        <v>610</v>
      </c>
    </row>
    <row r="173" spans="1:32" s="55" customFormat="1" x14ac:dyDescent="0.35">
      <c r="A173" s="84" t="str">
        <f>+alph!A158</f>
        <v>FA</v>
      </c>
      <c r="B173" s="200" t="s">
        <v>456</v>
      </c>
      <c r="C173" s="200"/>
      <c r="D173" s="200"/>
      <c r="E173" s="200"/>
      <c r="AF173" s="37"/>
    </row>
    <row r="174" spans="1:32" s="55" customFormat="1" x14ac:dyDescent="0.35">
      <c r="A174" s="84" t="str">
        <f>+alph!A159</f>
        <v>FB</v>
      </c>
      <c r="B174" s="221" t="s">
        <v>686</v>
      </c>
      <c r="C174" s="199"/>
      <c r="D174" s="199"/>
      <c r="E174" s="199"/>
      <c r="AF174" s="37"/>
    </row>
    <row r="175" spans="1:32" s="33" customFormat="1" ht="61" customHeight="1" x14ac:dyDescent="0.35">
      <c r="A175" s="84" t="str">
        <f>+alph!A160</f>
        <v>FC</v>
      </c>
      <c r="B175" s="221" t="s">
        <v>677</v>
      </c>
      <c r="C175" s="199"/>
      <c r="D175" s="199"/>
      <c r="E175" s="199"/>
      <c r="G175" s="57"/>
      <c r="AF175" s="42"/>
    </row>
    <row r="176" spans="1:32" s="33" customFormat="1" ht="61" customHeight="1" x14ac:dyDescent="0.35">
      <c r="A176" s="84" t="str">
        <f>+alph!A161</f>
        <v>FD</v>
      </c>
      <c r="B176" s="221" t="s">
        <v>678</v>
      </c>
      <c r="C176" s="199"/>
      <c r="D176" s="199"/>
      <c r="E176" s="199"/>
      <c r="G176" s="57"/>
      <c r="AF176" s="42"/>
    </row>
    <row r="177" spans="1:32" s="55" customFormat="1" ht="29" x14ac:dyDescent="0.35">
      <c r="A177" s="84" t="str">
        <f>+alph!A162</f>
        <v>FE</v>
      </c>
      <c r="B177" s="82" t="s">
        <v>471</v>
      </c>
      <c r="C177" s="85">
        <v>5</v>
      </c>
      <c r="D177" s="85" t="s">
        <v>457</v>
      </c>
      <c r="E177" s="82" t="s">
        <v>680</v>
      </c>
      <c r="AF177" s="37"/>
    </row>
    <row r="178" spans="1:32" s="55" customFormat="1" x14ac:dyDescent="0.35">
      <c r="A178" s="84" t="str">
        <f>+alph!A163</f>
        <v>FF</v>
      </c>
      <c r="B178" s="82"/>
      <c r="C178" s="107">
        <f>+(14.5)/16</f>
        <v>0.90625</v>
      </c>
      <c r="D178" s="85" t="s">
        <v>457</v>
      </c>
      <c r="E178" s="82" t="s">
        <v>679</v>
      </c>
      <c r="AF178" s="37"/>
    </row>
    <row r="179" spans="1:32" x14ac:dyDescent="0.35">
      <c r="A179" s="84" t="str">
        <f>+alph!A164</f>
        <v>FG</v>
      </c>
      <c r="B179" s="82" t="s">
        <v>458</v>
      </c>
      <c r="C179" s="89">
        <v>11</v>
      </c>
      <c r="D179" s="89" t="s">
        <v>271</v>
      </c>
      <c r="E179" s="70" t="s">
        <v>681</v>
      </c>
    </row>
    <row r="180" spans="1:32" ht="29" x14ac:dyDescent="0.35">
      <c r="A180" s="84" t="str">
        <f>+alph!A165</f>
        <v>FH</v>
      </c>
      <c r="B180" s="82" t="s">
        <v>459</v>
      </c>
      <c r="C180" s="89">
        <f>+C179*C178+C177</f>
        <v>14.96875</v>
      </c>
      <c r="D180" s="89" t="s">
        <v>457</v>
      </c>
      <c r="E180" s="70" t="s">
        <v>682</v>
      </c>
    </row>
    <row r="181" spans="1:32" x14ac:dyDescent="0.35">
      <c r="A181" s="84" t="str">
        <f>+alph!A166</f>
        <v>FI</v>
      </c>
      <c r="B181" s="82" t="s">
        <v>460</v>
      </c>
      <c r="C181" s="89">
        <v>3</v>
      </c>
      <c r="D181" s="89" t="s">
        <v>271</v>
      </c>
      <c r="E181" s="70" t="s">
        <v>683</v>
      </c>
      <c r="H181">
        <f>4.18/0.71</f>
        <v>5.887323943661972</v>
      </c>
    </row>
    <row r="182" spans="1:32" ht="29" x14ac:dyDescent="0.35">
      <c r="A182" s="84" t="str">
        <f>+alph!A167</f>
        <v>FJ</v>
      </c>
      <c r="B182" s="82" t="s">
        <v>461</v>
      </c>
      <c r="C182" s="89">
        <f>+C177+C178*C181</f>
        <v>7.71875</v>
      </c>
      <c r="D182" s="89" t="s">
        <v>457</v>
      </c>
      <c r="E182" s="70" t="s">
        <v>65</v>
      </c>
    </row>
    <row r="183" spans="1:32" ht="29" x14ac:dyDescent="0.35">
      <c r="A183" s="84" t="str">
        <f>+alph!A168</f>
        <v>FK</v>
      </c>
      <c r="B183" s="82" t="s">
        <v>684</v>
      </c>
      <c r="C183" s="89">
        <f>+C182/C180</f>
        <v>0.51565762004175364</v>
      </c>
      <c r="D183" s="89" t="s">
        <v>447</v>
      </c>
      <c r="E183" s="70"/>
    </row>
    <row r="184" spans="1:32" ht="58" x14ac:dyDescent="0.35">
      <c r="A184" s="84" t="str">
        <f>+alph!A169</f>
        <v>FL</v>
      </c>
      <c r="B184" s="82" t="s">
        <v>462</v>
      </c>
      <c r="C184" s="89">
        <f>1+(C96-1)*C183</f>
        <v>2.4025887265135699</v>
      </c>
      <c r="D184" s="89" t="s">
        <v>447</v>
      </c>
      <c r="E184" s="82" t="str">
        <f>"1+("&amp;TEXT(A96,0)&amp;"-1)*"&amp;TEXT(A183,0)&amp;"  This result is used later to calculate how much the 3 balls in the bag warmed before any other balls were put in the bag"</f>
        <v>1+(CP-1)*FK  This result is used later to calculate how much the 3 balls in the bag warmed before any other balls were put in the bag</v>
      </c>
    </row>
    <row r="185" spans="1:32" ht="101.5" x14ac:dyDescent="0.35">
      <c r="A185" s="84" t="str">
        <f>+alph!A170</f>
        <v>FM</v>
      </c>
      <c r="B185" s="82" t="s">
        <v>463</v>
      </c>
      <c r="C185" s="94">
        <v>0.83</v>
      </c>
      <c r="D185" s="89" t="s">
        <v>150</v>
      </c>
      <c r="E185" s="82" t="s">
        <v>685</v>
      </c>
    </row>
    <row r="186" spans="1:32" x14ac:dyDescent="0.35">
      <c r="A186" s="84" t="str">
        <f>+alph!A171</f>
        <v>FN</v>
      </c>
      <c r="B186" s="209" t="s">
        <v>464</v>
      </c>
      <c r="C186" s="210"/>
      <c r="D186" s="210"/>
      <c r="E186" s="210"/>
    </row>
    <row r="187" spans="1:32" ht="29" x14ac:dyDescent="0.35">
      <c r="A187" s="84" t="str">
        <f>+alph!A172</f>
        <v>FO</v>
      </c>
      <c r="B187" s="82" t="s">
        <v>695</v>
      </c>
      <c r="C187" s="164" t="s">
        <v>908</v>
      </c>
      <c r="D187" s="88" t="s">
        <v>149</v>
      </c>
      <c r="E187" s="108" t="s">
        <v>694</v>
      </c>
    </row>
    <row r="188" spans="1:32" ht="29" x14ac:dyDescent="0.35">
      <c r="A188" s="84" t="str">
        <f>+alph!A173</f>
        <v>FP</v>
      </c>
      <c r="B188" s="82" t="s">
        <v>465</v>
      </c>
      <c r="C188" s="163" t="s">
        <v>907</v>
      </c>
      <c r="D188" s="108" t="s">
        <v>121</v>
      </c>
      <c r="E188" s="82" t="s">
        <v>696</v>
      </c>
    </row>
    <row r="189" spans="1:32" ht="29" x14ac:dyDescent="0.35">
      <c r="A189" s="84" t="str">
        <f>+alph!A174</f>
        <v>FQ</v>
      </c>
      <c r="B189" s="82" t="s">
        <v>466</v>
      </c>
      <c r="C189" s="87">
        <f>+C185*C100</f>
        <v>9.0225150000000003</v>
      </c>
      <c r="D189" s="88" t="s">
        <v>121</v>
      </c>
      <c r="E189" s="160" t="str">
        <f>+TEXT(A185,0)&amp;"*"&amp;TEXT(A100,0)</f>
        <v>FM*CT</v>
      </c>
    </row>
    <row r="190" spans="1:32" ht="29" x14ac:dyDescent="0.35">
      <c r="A190" s="84" t="str">
        <f>+alph!A175</f>
        <v>FR</v>
      </c>
      <c r="B190" s="82" t="s">
        <v>699</v>
      </c>
      <c r="C190" s="87">
        <f>+C17</f>
        <v>44.779499999999999</v>
      </c>
      <c r="D190" s="88" t="s">
        <v>121</v>
      </c>
      <c r="E190" s="108" t="s">
        <v>700</v>
      </c>
    </row>
    <row r="191" spans="1:32" ht="29" x14ac:dyDescent="0.35">
      <c r="A191" s="84" t="str">
        <f>+alph!A176</f>
        <v>FS</v>
      </c>
      <c r="B191" s="82" t="s">
        <v>909</v>
      </c>
      <c r="C191" s="87">
        <f>+C190+C189</f>
        <v>53.802014999999997</v>
      </c>
      <c r="D191" s="88"/>
      <c r="E191" s="108" t="s">
        <v>701</v>
      </c>
    </row>
    <row r="192" spans="1:32" s="55" customFormat="1" ht="29" x14ac:dyDescent="0.35">
      <c r="A192" s="84" t="str">
        <f>+alph!A177</f>
        <v>FT</v>
      </c>
      <c r="B192" s="82" t="s">
        <v>697</v>
      </c>
      <c r="C192" s="102">
        <f>+C20</f>
        <v>55.65</v>
      </c>
      <c r="D192" s="82" t="s">
        <v>121</v>
      </c>
      <c r="E192" s="82" t="s">
        <v>702</v>
      </c>
      <c r="AF192" s="37"/>
    </row>
    <row r="193" spans="1:6" ht="29" x14ac:dyDescent="0.35">
      <c r="A193" s="84" t="str">
        <f>+alph!A178</f>
        <v>FU</v>
      </c>
      <c r="B193" s="82" t="s">
        <v>473</v>
      </c>
      <c r="C193" s="87">
        <f>+C172-C98</f>
        <v>0.96039604780190047</v>
      </c>
      <c r="D193" s="88" t="s">
        <v>121</v>
      </c>
      <c r="E193" s="5" t="str">
        <f>+TEXT(A173,0)&amp;"+"&amp;TEXT(A171,0)</f>
        <v>FA+EY</v>
      </c>
      <c r="F193" s="105"/>
    </row>
    <row r="194" spans="1:6" ht="58" x14ac:dyDescent="0.35">
      <c r="A194" s="84" t="str">
        <f>+alph!A179</f>
        <v>FV</v>
      </c>
      <c r="B194" s="82" t="s">
        <v>698</v>
      </c>
      <c r="C194" s="87">
        <f>+C192-C191</f>
        <v>1.8479850000000013</v>
      </c>
      <c r="D194" s="88"/>
      <c r="E194" s="108"/>
    </row>
    <row r="195" spans="1:6" ht="43.5" x14ac:dyDescent="0.35">
      <c r="A195" s="84" t="str">
        <f>+alph!A180</f>
        <v>FW</v>
      </c>
      <c r="B195" s="82" t="s">
        <v>474</v>
      </c>
      <c r="C195" s="87">
        <v>1</v>
      </c>
      <c r="D195" s="88" t="s">
        <v>121</v>
      </c>
      <c r="E195" s="82" t="s">
        <v>675</v>
      </c>
    </row>
    <row r="196" spans="1:6" x14ac:dyDescent="0.35">
      <c r="A196" s="84" t="str">
        <f>+alph!A181</f>
        <v>FX</v>
      </c>
      <c r="B196" s="82" t="s">
        <v>475</v>
      </c>
      <c r="C196" s="87">
        <f>+C195+C193</f>
        <v>1.9603960478019005</v>
      </c>
      <c r="D196" s="88" t="s">
        <v>121</v>
      </c>
      <c r="E196" s="5" t="str">
        <f>+TEXT(A195,0)&amp;"+"&amp;TEXT(A193,0)</f>
        <v>FW+FU</v>
      </c>
    </row>
    <row r="197" spans="1:6" ht="179.5" customHeight="1" x14ac:dyDescent="0.35">
      <c r="A197" s="84" t="str">
        <f>+alph!A182</f>
        <v>FY</v>
      </c>
      <c r="B197" s="82" t="s">
        <v>476</v>
      </c>
      <c r="C197" s="87">
        <f>+C196*gas!K30</f>
        <v>-9.6545165019181908E-2</v>
      </c>
      <c r="D197" s="88"/>
      <c r="E197" s="82" t="s">
        <v>703</v>
      </c>
    </row>
    <row r="198" spans="1:6" x14ac:dyDescent="0.35">
      <c r="A198" s="84">
        <f>+alph!A184</f>
        <v>0</v>
      </c>
    </row>
    <row r="199" spans="1:6" x14ac:dyDescent="0.35">
      <c r="A199" s="84">
        <f>+alph!A185</f>
        <v>0</v>
      </c>
    </row>
    <row r="200" spans="1:6" x14ac:dyDescent="0.35">
      <c r="A200" s="84">
        <f>+alph!A186</f>
        <v>0</v>
      </c>
    </row>
    <row r="201" spans="1:6" x14ac:dyDescent="0.35">
      <c r="A201" s="84">
        <f>+alph!A187</f>
        <v>0</v>
      </c>
    </row>
    <row r="202" spans="1:6" x14ac:dyDescent="0.35">
      <c r="A202" s="84">
        <f>+alph!A188</f>
        <v>0</v>
      </c>
    </row>
    <row r="203" spans="1:6" x14ac:dyDescent="0.35">
      <c r="A203" s="84">
        <f>+alph!A189</f>
        <v>0</v>
      </c>
    </row>
    <row r="204" spans="1:6" x14ac:dyDescent="0.35">
      <c r="A204" s="84">
        <f>+alph!A190</f>
        <v>0</v>
      </c>
    </row>
    <row r="205" spans="1:6" x14ac:dyDescent="0.35">
      <c r="A205" s="84">
        <f>+alph!A191</f>
        <v>0</v>
      </c>
    </row>
    <row r="206" spans="1:6" x14ac:dyDescent="0.35">
      <c r="A206" s="84">
        <f>+alph!A192</f>
        <v>0</v>
      </c>
    </row>
    <row r="207" spans="1:6" x14ac:dyDescent="0.35">
      <c r="A207" s="84">
        <f>+alph!A193</f>
        <v>0</v>
      </c>
    </row>
    <row r="208" spans="1:6" x14ac:dyDescent="0.35">
      <c r="A208" s="84">
        <f>+alph!A194</f>
        <v>0</v>
      </c>
    </row>
    <row r="209" spans="1:1" x14ac:dyDescent="0.35">
      <c r="A209" s="84">
        <f>+alph!A195</f>
        <v>0</v>
      </c>
    </row>
    <row r="210" spans="1:1" x14ac:dyDescent="0.35">
      <c r="A210" s="84">
        <f>+alph!A196</f>
        <v>0</v>
      </c>
    </row>
    <row r="211" spans="1:1" x14ac:dyDescent="0.35">
      <c r="A211" s="84">
        <f>+alph!A197</f>
        <v>0</v>
      </c>
    </row>
    <row r="212" spans="1:1" x14ac:dyDescent="0.35">
      <c r="A212" s="84">
        <f>+alph!A198</f>
        <v>0</v>
      </c>
    </row>
    <row r="213" spans="1:1" x14ac:dyDescent="0.35">
      <c r="A213" s="84">
        <f>+alph!A199</f>
        <v>0</v>
      </c>
    </row>
    <row r="214" spans="1:1" x14ac:dyDescent="0.35">
      <c r="A214" s="84">
        <f>+alph!A200</f>
        <v>0</v>
      </c>
    </row>
    <row r="215" spans="1:1" x14ac:dyDescent="0.35">
      <c r="A215" s="84">
        <f>+alph!A201</f>
        <v>0</v>
      </c>
    </row>
    <row r="216" spans="1:1" x14ac:dyDescent="0.35">
      <c r="A216" s="84">
        <f>+alph!A202</f>
        <v>0</v>
      </c>
    </row>
    <row r="217" spans="1:1" x14ac:dyDescent="0.35">
      <c r="A217" s="84">
        <f>+alph!A203</f>
        <v>0</v>
      </c>
    </row>
    <row r="218" spans="1:1" x14ac:dyDescent="0.35">
      <c r="A218" s="84">
        <f>+alph!A204</f>
        <v>0</v>
      </c>
    </row>
    <row r="219" spans="1:1" x14ac:dyDescent="0.35">
      <c r="A219" s="84">
        <f>+alph!A204</f>
        <v>0</v>
      </c>
    </row>
    <row r="220" spans="1:1" x14ac:dyDescent="0.35">
      <c r="A220" s="84">
        <f>+alph!A205</f>
        <v>0</v>
      </c>
    </row>
    <row r="221" spans="1:1" x14ac:dyDescent="0.35">
      <c r="A221" s="84">
        <f>+alph!A206</f>
        <v>0</v>
      </c>
    </row>
    <row r="222" spans="1:1" x14ac:dyDescent="0.35">
      <c r="A222" s="84">
        <f>+alph!A207</f>
        <v>0</v>
      </c>
    </row>
    <row r="223" spans="1:1" x14ac:dyDescent="0.35">
      <c r="A223" s="84">
        <f>+alph!A208</f>
        <v>0</v>
      </c>
    </row>
    <row r="224" spans="1:1" x14ac:dyDescent="0.35">
      <c r="A224" s="84">
        <f>+alph!A209</f>
        <v>0</v>
      </c>
    </row>
    <row r="225" spans="1:1" x14ac:dyDescent="0.35">
      <c r="A225" s="84">
        <f>+alph!A210</f>
        <v>0</v>
      </c>
    </row>
    <row r="226" spans="1:1" x14ac:dyDescent="0.35">
      <c r="A226" s="84">
        <f>+alph!A211</f>
        <v>0</v>
      </c>
    </row>
    <row r="227" spans="1:1" x14ac:dyDescent="0.35">
      <c r="A227" s="84">
        <f>+alph!A212</f>
        <v>0</v>
      </c>
    </row>
    <row r="228" spans="1:1" x14ac:dyDescent="0.35">
      <c r="A228" s="84">
        <f>+alph!A213</f>
        <v>0</v>
      </c>
    </row>
    <row r="229" spans="1:1" x14ac:dyDescent="0.35">
      <c r="A229" s="84">
        <f>+alph!A214</f>
        <v>0</v>
      </c>
    </row>
    <row r="230" spans="1:1" x14ac:dyDescent="0.35">
      <c r="A230" s="84">
        <f>+alph!A215</f>
        <v>0</v>
      </c>
    </row>
    <row r="231" spans="1:1" x14ac:dyDescent="0.35">
      <c r="A231" s="84">
        <f>+alph!A216</f>
        <v>0</v>
      </c>
    </row>
    <row r="232" spans="1:1" x14ac:dyDescent="0.35">
      <c r="A232" s="84">
        <f>+alph!A217</f>
        <v>0</v>
      </c>
    </row>
    <row r="233" spans="1:1" x14ac:dyDescent="0.35">
      <c r="A233" s="84">
        <f>+alph!A218</f>
        <v>0</v>
      </c>
    </row>
    <row r="234" spans="1:1" x14ac:dyDescent="0.35">
      <c r="A234" s="84">
        <f>+alph!A219</f>
        <v>0</v>
      </c>
    </row>
    <row r="235" spans="1:1" x14ac:dyDescent="0.35">
      <c r="A235" s="84">
        <f>+alph!A220</f>
        <v>0</v>
      </c>
    </row>
    <row r="236" spans="1:1" x14ac:dyDescent="0.35">
      <c r="A236" s="84">
        <f>+alph!A221</f>
        <v>0</v>
      </c>
    </row>
    <row r="237" spans="1:1" x14ac:dyDescent="0.35">
      <c r="A237" s="84">
        <f>+alph!A222</f>
        <v>0</v>
      </c>
    </row>
    <row r="238" spans="1:1" x14ac:dyDescent="0.35">
      <c r="A238" s="84">
        <f>+alph!A223</f>
        <v>0</v>
      </c>
    </row>
    <row r="239" spans="1:1" x14ac:dyDescent="0.35">
      <c r="A239" s="84">
        <f>+alph!A224</f>
        <v>0</v>
      </c>
    </row>
    <row r="240" spans="1:1" x14ac:dyDescent="0.35">
      <c r="A240" s="84">
        <f>+alph!A225</f>
        <v>0</v>
      </c>
    </row>
    <row r="241" spans="1:1" x14ac:dyDescent="0.35">
      <c r="A241" s="84">
        <f>+alph!A226</f>
        <v>0</v>
      </c>
    </row>
    <row r="242" spans="1:1" x14ac:dyDescent="0.35">
      <c r="A242" s="84">
        <f>+alph!A227</f>
        <v>0</v>
      </c>
    </row>
    <row r="243" spans="1:1" x14ac:dyDescent="0.35">
      <c r="A243" s="84">
        <f>+alph!A228</f>
        <v>0</v>
      </c>
    </row>
    <row r="244" spans="1:1" x14ac:dyDescent="0.35">
      <c r="A244" s="84">
        <f>+alph!A229</f>
        <v>0</v>
      </c>
    </row>
    <row r="245" spans="1:1" x14ac:dyDescent="0.35">
      <c r="A245" s="84">
        <f>+alph!A230</f>
        <v>0</v>
      </c>
    </row>
    <row r="246" spans="1:1" x14ac:dyDescent="0.35">
      <c r="A246" s="84">
        <f>+alph!A231</f>
        <v>0</v>
      </c>
    </row>
    <row r="247" spans="1:1" x14ac:dyDescent="0.35">
      <c r="A247" s="84">
        <f>+alph!A232</f>
        <v>0</v>
      </c>
    </row>
    <row r="248" spans="1:1" x14ac:dyDescent="0.35">
      <c r="A248" s="84">
        <f>+alph!A233</f>
        <v>0</v>
      </c>
    </row>
    <row r="249" spans="1:1" x14ac:dyDescent="0.35">
      <c r="A249" s="84">
        <f>+alph!A234</f>
        <v>0</v>
      </c>
    </row>
    <row r="250" spans="1:1" x14ac:dyDescent="0.35">
      <c r="A250" s="84">
        <f>+alph!A235</f>
        <v>0</v>
      </c>
    </row>
    <row r="251" spans="1:1" x14ac:dyDescent="0.35">
      <c r="A251" s="84">
        <f>+alph!A236</f>
        <v>0</v>
      </c>
    </row>
    <row r="252" spans="1:1" x14ac:dyDescent="0.35">
      <c r="A252" s="84">
        <f>+alph!A237</f>
        <v>0</v>
      </c>
    </row>
    <row r="253" spans="1:1" x14ac:dyDescent="0.35">
      <c r="A253" s="84">
        <f>+alph!A238</f>
        <v>0</v>
      </c>
    </row>
    <row r="254" spans="1:1" x14ac:dyDescent="0.35">
      <c r="A254" s="84">
        <f>+alph!A239</f>
        <v>0</v>
      </c>
    </row>
    <row r="255" spans="1:1" x14ac:dyDescent="0.35">
      <c r="A255" s="84">
        <f>+alph!A240</f>
        <v>0</v>
      </c>
    </row>
    <row r="256" spans="1:1" x14ac:dyDescent="0.35">
      <c r="A256" s="84">
        <f>+alph!A241</f>
        <v>0</v>
      </c>
    </row>
    <row r="257" spans="1:34" x14ac:dyDescent="0.35">
      <c r="A257" s="84">
        <f>+alph!A242</f>
        <v>0</v>
      </c>
    </row>
    <row r="258" spans="1:34" x14ac:dyDescent="0.35">
      <c r="A258" s="84">
        <f>+alph!A243</f>
        <v>0</v>
      </c>
    </row>
    <row r="259" spans="1:34" x14ac:dyDescent="0.35">
      <c r="A259" s="84">
        <f>+alph!A244</f>
        <v>0</v>
      </c>
    </row>
    <row r="261" spans="1:34" x14ac:dyDescent="0.35">
      <c r="AH261" s="1"/>
    </row>
    <row r="262" spans="1:34" x14ac:dyDescent="0.35">
      <c r="AH262" s="1"/>
    </row>
    <row r="263" spans="1:34" x14ac:dyDescent="0.35">
      <c r="AH263" s="1"/>
    </row>
    <row r="264" spans="1:34" x14ac:dyDescent="0.35">
      <c r="AH264" s="1"/>
    </row>
    <row r="265" spans="1:34" x14ac:dyDescent="0.35">
      <c r="AH265" s="1"/>
    </row>
    <row r="266" spans="1:34" x14ac:dyDescent="0.35">
      <c r="AH266" s="1"/>
    </row>
  </sheetData>
  <mergeCells count="24">
    <mergeCell ref="B186:E186"/>
    <mergeCell ref="B93:E93"/>
    <mergeCell ref="B97:E97"/>
    <mergeCell ref="B102:E102"/>
    <mergeCell ref="B103:E103"/>
    <mergeCell ref="B104:E104"/>
    <mergeCell ref="B105:E105"/>
    <mergeCell ref="B128:E128"/>
    <mergeCell ref="B132:E132"/>
    <mergeCell ref="B146:E146"/>
    <mergeCell ref="B175:E175"/>
    <mergeCell ref="B176:E176"/>
    <mergeCell ref="B174:E174"/>
    <mergeCell ref="B150:E150"/>
    <mergeCell ref="B151:E151"/>
    <mergeCell ref="B153:E153"/>
    <mergeCell ref="B152:E152"/>
    <mergeCell ref="B173:E173"/>
    <mergeCell ref="B38:F38"/>
    <mergeCell ref="F67:F68"/>
    <mergeCell ref="F69:F70"/>
    <mergeCell ref="F73:F74"/>
    <mergeCell ref="C145:D145"/>
    <mergeCell ref="E76:E77"/>
  </mergeCells>
  <hyperlinks>
    <hyperlink ref="E3" r:id="rId1"/>
    <hyperlink ref="E8" r:id="rId2"/>
    <hyperlink ref="E9" r:id="rId3"/>
    <hyperlink ref="E27" r:id="rId4"/>
    <hyperlink ref="A2" location="bookmark_index" display="Index"/>
    <hyperlink ref="A79" location="bookmark_index" display="Index"/>
    <hyperlink ref="A38" location="bookmark_index" display="Index"/>
    <hyperlink ref="A106" location="bookmark_index" display="Index"/>
    <hyperlink ref="A93" location="bookmark_index" display="Index"/>
    <hyperlink ref="A134" location="bookmark_index" display="Index"/>
    <hyperlink ref="A154" location="bookmark_index" display="Index"/>
    <hyperlink ref="A61" location="bookmark_index" display="Index"/>
  </hyperlinks>
  <pageMargins left="0.7" right="0.7" top="0.75" bottom="0.75" header="0.3" footer="0.3"/>
  <pageSetup orientation="portrait" horizontalDpi="1200" verticalDpi="1200" r:id="rId5"/>
  <headerFooter>
    <oddFooter xml:space="preserve">&amp;L&amp;"arial,Regular"&amp;KBBBBBB
</oddFooter>
    <evenFooter xml:space="preserve">&amp;L&amp;"arial,Regular"&amp;KBBBBBB
</evenFooter>
    <firstFooter xml:space="preserve">&amp;L&amp;"arial,Regular"&amp;KBBBBBB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3" sqref="G3"/>
    </sheetView>
  </sheetViews>
  <sheetFormatPr defaultRowHeight="14.5" x14ac:dyDescent="0.35"/>
  <cols>
    <col min="1" max="1" width="8.7265625" style="196"/>
    <col min="2" max="2" width="25" style="196" customWidth="1"/>
    <col min="3" max="3" width="12.6328125" style="196" customWidth="1"/>
    <col min="4" max="4" width="8.7265625" style="196"/>
    <col min="5" max="5" width="32.90625" style="196" customWidth="1"/>
    <col min="6" max="16384" width="8.7265625" style="196"/>
  </cols>
  <sheetData>
    <row r="1" spans="1:5" x14ac:dyDescent="0.35">
      <c r="A1" s="192" t="s">
        <v>961</v>
      </c>
      <c r="B1" s="16" t="s">
        <v>1058</v>
      </c>
      <c r="D1" s="20" t="s">
        <v>734</v>
      </c>
      <c r="E1" s="20" t="s">
        <v>1022</v>
      </c>
    </row>
    <row r="2" spans="1:5" x14ac:dyDescent="0.35">
      <c r="A2" s="196" t="s">
        <v>145</v>
      </c>
      <c r="B2" s="196" t="s">
        <v>1021</v>
      </c>
      <c r="C2" s="196">
        <v>12.5</v>
      </c>
      <c r="D2" s="196" t="s">
        <v>149</v>
      </c>
      <c r="E2" s="196" t="s">
        <v>1045</v>
      </c>
    </row>
    <row r="3" spans="1:5" ht="58" x14ac:dyDescent="0.35">
      <c r="A3" s="196">
        <v>1</v>
      </c>
      <c r="B3" s="196" t="s">
        <v>1028</v>
      </c>
      <c r="C3" s="36">
        <f>+(C2+0.2836)/1.05</f>
        <v>12.174857142857142</v>
      </c>
      <c r="D3" s="196" t="s">
        <v>149</v>
      </c>
      <c r="E3" s="196" t="s">
        <v>1047</v>
      </c>
    </row>
    <row r="4" spans="1:5" ht="29" customHeight="1" x14ac:dyDescent="0.35">
      <c r="A4" s="196">
        <v>2</v>
      </c>
      <c r="B4" s="196" t="s">
        <v>1023</v>
      </c>
      <c r="C4" s="196">
        <v>72.5</v>
      </c>
      <c r="D4" s="196" t="s">
        <v>121</v>
      </c>
      <c r="E4" s="196" t="s">
        <v>1024</v>
      </c>
    </row>
    <row r="5" spans="1:5" ht="58" x14ac:dyDescent="0.35">
      <c r="A5" s="196">
        <v>3</v>
      </c>
      <c r="B5" s="196" t="s">
        <v>1025</v>
      </c>
      <c r="C5" s="196">
        <f>+main!C13</f>
        <v>44.61</v>
      </c>
      <c r="D5" s="196" t="s">
        <v>121</v>
      </c>
      <c r="E5" s="196" t="s">
        <v>1026</v>
      </c>
    </row>
    <row r="6" spans="1:5" x14ac:dyDescent="0.35">
      <c r="A6" s="196">
        <v>4</v>
      </c>
      <c r="B6" s="196" t="s">
        <v>382</v>
      </c>
      <c r="C6" s="29">
        <f>+gas!C8</f>
        <v>14.15</v>
      </c>
      <c r="D6" s="196" t="s">
        <v>149</v>
      </c>
      <c r="E6" s="196" t="s">
        <v>1027</v>
      </c>
    </row>
    <row r="7" spans="1:5" ht="29" x14ac:dyDescent="0.35">
      <c r="A7" s="196">
        <v>5</v>
      </c>
      <c r="B7" s="196" t="s">
        <v>1030</v>
      </c>
      <c r="C7" s="29">
        <f>+C6+C3</f>
        <v>26.324857142857141</v>
      </c>
      <c r="D7" s="196" t="s">
        <v>149</v>
      </c>
      <c r="E7" s="196" t="s">
        <v>1029</v>
      </c>
    </row>
    <row r="8" spans="1:5" ht="43.5" x14ac:dyDescent="0.35">
      <c r="A8" s="196">
        <v>6</v>
      </c>
      <c r="B8" s="196" t="s">
        <v>1041</v>
      </c>
      <c r="C8" s="196">
        <f>+C4+gas!C5</f>
        <v>532.5</v>
      </c>
      <c r="D8" s="196" t="s">
        <v>138</v>
      </c>
      <c r="E8" s="196" t="s">
        <v>1031</v>
      </c>
    </row>
    <row r="9" spans="1:5" ht="43.5" x14ac:dyDescent="0.35">
      <c r="A9" s="196">
        <v>7</v>
      </c>
      <c r="B9" s="196" t="s">
        <v>1042</v>
      </c>
      <c r="C9" s="196">
        <f>+C5+460</f>
        <v>504.61</v>
      </c>
      <c r="D9" s="196" t="s">
        <v>138</v>
      </c>
      <c r="E9" s="196" t="s">
        <v>1031</v>
      </c>
    </row>
    <row r="10" spans="1:5" ht="43.5" x14ac:dyDescent="0.35">
      <c r="A10" s="196">
        <v>8</v>
      </c>
      <c r="B10" s="196" t="s">
        <v>1043</v>
      </c>
      <c r="C10" s="29">
        <f>+C9/C8*C7</f>
        <v>24.946077301140171</v>
      </c>
      <c r="D10" s="196" t="s">
        <v>149</v>
      </c>
      <c r="E10" s="196" t="s">
        <v>1032</v>
      </c>
    </row>
    <row r="11" spans="1:5" x14ac:dyDescent="0.35">
      <c r="A11" s="196">
        <v>9</v>
      </c>
      <c r="B11" s="196" t="s">
        <v>1037</v>
      </c>
      <c r="C11" s="197">
        <v>1.01</v>
      </c>
      <c r="E11" s="196" t="s">
        <v>1038</v>
      </c>
    </row>
    <row r="12" spans="1:5" x14ac:dyDescent="0.35">
      <c r="A12" s="196">
        <v>10</v>
      </c>
      <c r="B12" s="196" t="s">
        <v>1035</v>
      </c>
      <c r="C12" s="197">
        <f>+C11^2</f>
        <v>1.0201</v>
      </c>
      <c r="E12" s="196" t="s">
        <v>1036</v>
      </c>
    </row>
    <row r="13" spans="1:5" ht="29" x14ac:dyDescent="0.35">
      <c r="A13" s="196">
        <v>11</v>
      </c>
      <c r="B13" s="196" t="s">
        <v>1039</v>
      </c>
      <c r="C13" s="197">
        <f>+C10/C12</f>
        <v>24.454541026507371</v>
      </c>
      <c r="E13" s="196" t="s">
        <v>1040</v>
      </c>
    </row>
    <row r="14" spans="1:5" ht="29" x14ac:dyDescent="0.35">
      <c r="A14" s="196">
        <v>12</v>
      </c>
      <c r="B14" s="196" t="s">
        <v>1033</v>
      </c>
      <c r="C14" s="29">
        <f>+C13-C6</f>
        <v>10.304541026507371</v>
      </c>
      <c r="D14" s="196" t="s">
        <v>149</v>
      </c>
      <c r="E14" s="196" t="s">
        <v>1044</v>
      </c>
    </row>
    <row r="15" spans="1:5" ht="43.5" x14ac:dyDescent="0.35">
      <c r="A15" s="196">
        <v>16</v>
      </c>
      <c r="B15" s="196" t="s">
        <v>1034</v>
      </c>
      <c r="C15" s="29">
        <f>+C14*1.05-0.2836</f>
        <v>10.536168077832739</v>
      </c>
      <c r="D15" s="196" t="s">
        <v>149</v>
      </c>
      <c r="E15" s="196" t="s">
        <v>1046</v>
      </c>
    </row>
  </sheetData>
  <hyperlinks>
    <hyperlink ref="A1" location="bookmark_index" display="Index"/>
  </hyperlink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topLeftCell="A116" workbookViewId="0">
      <selection activeCell="D142" sqref="D142"/>
    </sheetView>
  </sheetViews>
  <sheetFormatPr defaultRowHeight="14.5" x14ac:dyDescent="0.35"/>
  <cols>
    <col min="1" max="1" width="34.36328125" customWidth="1"/>
    <col min="3" max="3" width="8.90625" customWidth="1"/>
    <col min="4" max="4" width="6" customWidth="1"/>
    <col min="5" max="5" width="10.6328125" customWidth="1"/>
    <col min="8" max="8" width="4.1796875" customWidth="1"/>
  </cols>
  <sheetData>
    <row r="1" spans="1:16" x14ac:dyDescent="0.35">
      <c r="B1" t="s">
        <v>989</v>
      </c>
      <c r="M1" s="13" t="s">
        <v>987</v>
      </c>
    </row>
    <row r="2" spans="1:16" x14ac:dyDescent="0.35">
      <c r="M2" t="s">
        <v>988</v>
      </c>
    </row>
    <row r="3" spans="1:16" s="4" customFormat="1" ht="116" x14ac:dyDescent="0.35">
      <c r="A3" s="86" t="s">
        <v>67</v>
      </c>
      <c r="B3" s="86" t="s">
        <v>802</v>
      </c>
      <c r="C3" s="86" t="s">
        <v>448</v>
      </c>
      <c r="D3" s="86" t="s">
        <v>439</v>
      </c>
      <c r="E3" s="111" t="s">
        <v>819</v>
      </c>
      <c r="F3" s="86" t="s">
        <v>449</v>
      </c>
      <c r="G3" s="86" t="s">
        <v>70</v>
      </c>
      <c r="H3" s="86" t="s">
        <v>454</v>
      </c>
      <c r="I3" s="86" t="s">
        <v>450</v>
      </c>
      <c r="J3" s="86" t="s">
        <v>451</v>
      </c>
      <c r="K3" s="86" t="s">
        <v>801</v>
      </c>
      <c r="L3" s="86" t="s">
        <v>803</v>
      </c>
      <c r="M3" s="86" t="s">
        <v>214</v>
      </c>
      <c r="N3" s="122" t="s">
        <v>305</v>
      </c>
      <c r="O3" s="86" t="s">
        <v>307</v>
      </c>
      <c r="P3" s="86" t="s">
        <v>306</v>
      </c>
    </row>
    <row r="4" spans="1:16" x14ac:dyDescent="0.35">
      <c r="A4" s="2" t="s">
        <v>452</v>
      </c>
      <c r="B4" s="65">
        <f>+main!C74</f>
        <v>10.666370855260029</v>
      </c>
      <c r="C4" s="65">
        <f>+main!C77</f>
        <v>1.5194423482757151</v>
      </c>
      <c r="D4" s="2">
        <v>1</v>
      </c>
      <c r="E4" s="2"/>
      <c r="F4" s="2"/>
      <c r="G4" s="2"/>
      <c r="H4" s="2"/>
      <c r="I4" s="2">
        <v>0</v>
      </c>
      <c r="J4" s="65">
        <f>+B4*1.05-0.2836</f>
        <v>10.916089398023031</v>
      </c>
      <c r="K4" s="65">
        <f>+main!C74</f>
        <v>10.666370855260029</v>
      </c>
      <c r="L4" s="2"/>
      <c r="M4" s="2"/>
      <c r="N4" s="94"/>
      <c r="O4" s="2"/>
      <c r="P4" s="2"/>
    </row>
    <row r="5" spans="1:16" x14ac:dyDescent="0.35">
      <c r="A5" s="2" t="s">
        <v>453</v>
      </c>
      <c r="B5" s="65">
        <f>+main!C73</f>
        <v>10.716370855260029</v>
      </c>
      <c r="C5" s="65">
        <f>+main!C76</f>
        <v>1.4694423482757148</v>
      </c>
      <c r="D5" s="2">
        <v>1</v>
      </c>
      <c r="E5" s="2"/>
      <c r="F5" s="2"/>
      <c r="G5" s="2"/>
      <c r="H5" s="2"/>
      <c r="I5" s="2">
        <v>0</v>
      </c>
      <c r="J5" s="65">
        <f>+B5*1.05-0.2836</f>
        <v>10.968589398023031</v>
      </c>
      <c r="K5" s="65"/>
      <c r="L5" s="2"/>
      <c r="M5" s="2"/>
      <c r="N5" s="94"/>
      <c r="O5" s="2"/>
      <c r="P5" s="2"/>
    </row>
    <row r="6" spans="1:16" x14ac:dyDescent="0.35">
      <c r="A6" s="2" t="s">
        <v>436</v>
      </c>
      <c r="B6" s="65">
        <f>+main!D74</f>
        <v>11.130769636638533</v>
      </c>
      <c r="C6" s="65">
        <f>+main!D77</f>
        <v>1.5312340430876872</v>
      </c>
      <c r="D6" s="2">
        <v>1</v>
      </c>
      <c r="E6" s="2"/>
      <c r="F6" s="2"/>
      <c r="G6" s="2"/>
      <c r="H6" s="2"/>
      <c r="I6" s="2">
        <v>0</v>
      </c>
      <c r="J6" s="65">
        <f>+B6*1.05-0.2836</f>
        <v>11.40370811847046</v>
      </c>
      <c r="K6" s="65"/>
      <c r="L6" s="2"/>
      <c r="M6" s="2"/>
      <c r="N6" s="94"/>
      <c r="O6" s="2"/>
      <c r="P6" s="2"/>
    </row>
    <row r="7" spans="1:16" x14ac:dyDescent="0.35">
      <c r="A7" s="2" t="s">
        <v>437</v>
      </c>
      <c r="B7" s="65">
        <f>+main!D73</f>
        <v>11.214473340342236</v>
      </c>
      <c r="C7" s="65">
        <f>+main!D76</f>
        <v>1.4475303393839845</v>
      </c>
      <c r="D7" s="2">
        <v>1</v>
      </c>
      <c r="E7" s="2"/>
      <c r="F7" s="2"/>
      <c r="G7" s="2"/>
      <c r="H7" s="2"/>
      <c r="I7" s="2">
        <v>0</v>
      </c>
      <c r="J7" s="65">
        <f>+B7*1.05-0.2836</f>
        <v>11.491597007359349</v>
      </c>
      <c r="K7" s="65"/>
      <c r="L7" s="2"/>
      <c r="M7" s="2"/>
      <c r="N7" s="94"/>
      <c r="O7" s="2"/>
      <c r="P7" s="2"/>
    </row>
    <row r="8" spans="1:16" x14ac:dyDescent="0.35">
      <c r="A8" s="2" t="s">
        <v>787</v>
      </c>
      <c r="B8" s="65">
        <f>+main!D143</f>
        <v>10.750430177495062</v>
      </c>
      <c r="C8" s="65">
        <f>+main!D147</f>
        <v>1.363471017148951</v>
      </c>
      <c r="D8" s="65">
        <v>1</v>
      </c>
      <c r="E8" s="65"/>
      <c r="F8" s="65"/>
      <c r="G8" s="2"/>
      <c r="H8" s="2"/>
      <c r="I8" s="65">
        <v>0</v>
      </c>
      <c r="J8" s="65">
        <f>+K8*1.05-0.2836</f>
        <v>11.004351686369816</v>
      </c>
      <c r="K8" s="65">
        <f t="shared" ref="K8" si="0">B8+P8*C8</f>
        <v>10.750430177495062</v>
      </c>
      <c r="L8" s="65">
        <f t="shared" ref="L8" si="1">+I8/D8</f>
        <v>0</v>
      </c>
      <c r="M8" s="65">
        <f>+(VLOOKUP(L8,TCrv,1))</f>
        <v>0</v>
      </c>
      <c r="N8" s="94">
        <f t="shared" ref="N8:N16" si="2">+(VLOOKUP(L8,TCrv,2))</f>
        <v>0</v>
      </c>
      <c r="O8" s="65">
        <f t="shared" ref="O8:O16" si="3">+(VLOOKUP(L8,TCrv,3))</f>
        <v>5.7712107678357119E-2</v>
      </c>
      <c r="P8" s="94">
        <f t="shared" ref="P8" si="4">+N8+O8*(L8-M8)</f>
        <v>0</v>
      </c>
    </row>
    <row r="9" spans="1:16" x14ac:dyDescent="0.35">
      <c r="A9" s="2" t="str">
        <f>+provRef!B80</f>
        <v>Intercepted, first chance for NFL to measure (using Patriots' gauge)</v>
      </c>
      <c r="B9" s="65">
        <f>+B8</f>
        <v>10.750430177495062</v>
      </c>
      <c r="C9" s="65">
        <f>+C8</f>
        <v>1.363471017148951</v>
      </c>
      <c r="D9" s="65">
        <v>1</v>
      </c>
      <c r="E9" s="65"/>
      <c r="F9" s="65"/>
      <c r="G9" s="2"/>
      <c r="H9" s="2"/>
      <c r="I9" s="65">
        <f>+tline!B27</f>
        <v>4</v>
      </c>
      <c r="J9" s="65">
        <f>+K9*1.05-0.2836</f>
        <v>11.500091039165328</v>
      </c>
      <c r="K9" s="65">
        <f t="shared" ref="K9" si="5">B9+P9*C9</f>
        <v>11.222562894443168</v>
      </c>
      <c r="L9" s="65">
        <f t="shared" ref="L9" si="6">+I9/D9</f>
        <v>4</v>
      </c>
      <c r="M9" s="65">
        <f>+(VLOOKUP(L9,TCrv,1))</f>
        <v>3</v>
      </c>
      <c r="N9" s="94">
        <f t="shared" si="2"/>
        <v>0.28134652493198486</v>
      </c>
      <c r="O9" s="65">
        <f t="shared" si="3"/>
        <v>6.4926121138150161E-2</v>
      </c>
      <c r="P9" s="94">
        <f t="shared" ref="P9" si="7">+N9+O9*(L9-M9)</f>
        <v>0.34627264607013503</v>
      </c>
    </row>
    <row r="10" spans="1:16" x14ac:dyDescent="0.35">
      <c r="A10" s="2" t="str">
        <f>+provRef!B81</f>
        <v>Intercepted, first chance of using ref's gauge</v>
      </c>
      <c r="B10" s="65">
        <f>+B9</f>
        <v>10.750430177495062</v>
      </c>
      <c r="C10" s="65">
        <f>+C9</f>
        <v>1.363471017148951</v>
      </c>
      <c r="D10" s="65">
        <v>1</v>
      </c>
      <c r="E10" s="65"/>
      <c r="F10" s="65"/>
      <c r="G10" s="2"/>
      <c r="H10" s="2"/>
      <c r="I10" s="65">
        <f>+tline!B29</f>
        <v>8</v>
      </c>
      <c r="J10" s="65">
        <f>+K10*1.05-0.2836</f>
        <v>11.796157597084868</v>
      </c>
      <c r="K10" s="65">
        <f>B10+P10*C10</f>
        <v>11.50453104484273</v>
      </c>
      <c r="L10" s="65">
        <f t="shared" ref="L10" si="8">+I10/D10</f>
        <v>8</v>
      </c>
      <c r="M10" s="65">
        <f>+(VLOOKUP(L10,TCrv,1))</f>
        <v>6</v>
      </c>
      <c r="N10" s="94">
        <f t="shared" si="2"/>
        <v>0.47612488834643535</v>
      </c>
      <c r="O10" s="65">
        <f t="shared" si="3"/>
        <v>3.8474738452237235E-2</v>
      </c>
      <c r="P10" s="94">
        <f t="shared" ref="P10" si="9">+N10+O10*(L10-M10)</f>
        <v>0.55307436525090981</v>
      </c>
    </row>
    <row r="11" spans="1:16" x14ac:dyDescent="0.35">
      <c r="A11" s="2" t="s">
        <v>455</v>
      </c>
      <c r="B11" s="65">
        <f>+B4</f>
        <v>10.666370855260029</v>
      </c>
      <c r="C11" s="65">
        <f>+main!C101</f>
        <v>0.53442415823563039</v>
      </c>
      <c r="D11" s="65">
        <f>+main!$C$96</f>
        <v>3.7200000000000006</v>
      </c>
      <c r="E11" s="134">
        <f>+main!$C$121</f>
        <v>1.3293650793650715E-3</v>
      </c>
      <c r="F11" s="2"/>
      <c r="G11" s="2"/>
      <c r="H11" s="2"/>
      <c r="I11" s="2">
        <v>0</v>
      </c>
      <c r="J11" s="65">
        <f>+K11*1.05-0.2836</f>
        <v>10.916089398023031</v>
      </c>
      <c r="K11" s="65">
        <f>B11+P11*C11-I11*E11</f>
        <v>10.666370855260029</v>
      </c>
      <c r="L11" s="65">
        <f t="shared" ref="L11:L28" si="10">+I11/D11</f>
        <v>0</v>
      </c>
      <c r="M11" s="65">
        <f>+(VLOOKUP($L11,TCrv,1))</f>
        <v>0</v>
      </c>
      <c r="N11" s="94">
        <f t="shared" si="2"/>
        <v>0</v>
      </c>
      <c r="O11" s="65">
        <f t="shared" si="3"/>
        <v>5.7712107678357119E-2</v>
      </c>
      <c r="P11" s="94">
        <f>+N11+O11*(L11-M11)</f>
        <v>0</v>
      </c>
    </row>
    <row r="12" spans="1:16" x14ac:dyDescent="0.35">
      <c r="A12" s="2" t="s">
        <v>455</v>
      </c>
      <c r="B12" s="65">
        <f>+B11</f>
        <v>10.666370855260029</v>
      </c>
      <c r="C12" s="65">
        <f>+C11</f>
        <v>0.53442415823563039</v>
      </c>
      <c r="D12" s="65">
        <f>+main!$C$96</f>
        <v>3.7200000000000006</v>
      </c>
      <c r="E12" s="134">
        <f>+main!$C$121</f>
        <v>1.3293650793650715E-3</v>
      </c>
      <c r="F12" s="2"/>
      <c r="G12" s="2"/>
      <c r="H12" s="2"/>
      <c r="I12" s="2">
        <v>4</v>
      </c>
      <c r="J12" s="65">
        <f t="shared" ref="J12:J82" si="11">+K12*1.05-0.2836</f>
        <v>10.959301027715801</v>
      </c>
      <c r="K12" s="65">
        <f t="shared" ref="K12:K103" si="12">B12+P12*C12-I12*E12</f>
        <v>10.707524788300763</v>
      </c>
      <c r="L12" s="65">
        <f t="shared" si="10"/>
        <v>1.0752688172043008</v>
      </c>
      <c r="M12" s="65">
        <f t="shared" ref="M12:M26" si="13">+(VLOOKUP(L12,TCrv,1))</f>
        <v>0.5</v>
      </c>
      <c r="N12" s="94">
        <f t="shared" si="2"/>
        <v>2.885605383917856E-2</v>
      </c>
      <c r="O12" s="65">
        <f t="shared" si="3"/>
        <v>0.10099618843712252</v>
      </c>
      <c r="P12" s="94">
        <f t="shared" ref="P12:P16" si="14">+N12+O12*(L12-M12)</f>
        <v>8.6956011703544708E-2</v>
      </c>
    </row>
    <row r="13" spans="1:16" x14ac:dyDescent="0.35">
      <c r="A13" s="2" t="s">
        <v>455</v>
      </c>
      <c r="B13" s="65">
        <f t="shared" ref="B13:B15" si="15">+B12</f>
        <v>10.666370855260029</v>
      </c>
      <c r="C13" s="65">
        <f t="shared" ref="C13:C15" si="16">+C12</f>
        <v>0.53442415823563039</v>
      </c>
      <c r="D13" s="2">
        <f t="shared" ref="D13:D15" si="17">+D12</f>
        <v>3.7200000000000006</v>
      </c>
      <c r="E13" s="134">
        <f>+main!$C$121</f>
        <v>1.3293650793650715E-3</v>
      </c>
      <c r="F13" s="65">
        <f>+G13-J13</f>
        <v>-0.11534893758600973</v>
      </c>
      <c r="G13" s="2">
        <v>10.9</v>
      </c>
      <c r="H13" s="2">
        <v>10</v>
      </c>
      <c r="I13" s="65">
        <f>+main!$C$80+(H13-1)*main!$C$83</f>
        <v>8.0500000000000007</v>
      </c>
      <c r="J13" s="65">
        <f t="shared" si="11"/>
        <v>11.01534893758601</v>
      </c>
      <c r="K13" s="65">
        <f t="shared" si="12"/>
        <v>10.760903750081914</v>
      </c>
      <c r="L13" s="65">
        <f t="shared" si="10"/>
        <v>2.1639784946236555</v>
      </c>
      <c r="M13" s="65">
        <f t="shared" si="13"/>
        <v>0.5</v>
      </c>
      <c r="N13" s="94">
        <f t="shared" si="2"/>
        <v>2.885605383917856E-2</v>
      </c>
      <c r="O13" s="65">
        <f t="shared" si="3"/>
        <v>0.10099618843712252</v>
      </c>
      <c r="P13" s="94">
        <f t="shared" si="14"/>
        <v>0.19691153943750872</v>
      </c>
    </row>
    <row r="14" spans="1:16" x14ac:dyDescent="0.35">
      <c r="A14" s="2" t="s">
        <v>455</v>
      </c>
      <c r="B14" s="65">
        <f t="shared" si="15"/>
        <v>10.666370855260029</v>
      </c>
      <c r="C14" s="65">
        <f t="shared" si="16"/>
        <v>0.53442415823563039</v>
      </c>
      <c r="D14" s="2">
        <f t="shared" si="17"/>
        <v>3.7200000000000006</v>
      </c>
      <c r="E14" s="134">
        <f>+main!$C$121</f>
        <v>1.3293650793650715E-3</v>
      </c>
      <c r="F14" s="65"/>
      <c r="G14" s="2"/>
      <c r="H14" s="2"/>
      <c r="I14" s="65">
        <v>9</v>
      </c>
      <c r="J14" s="65">
        <f t="shared" ref="J14" si="18">+K14*1.05-0.2836</f>
        <v>11.028495978172847</v>
      </c>
      <c r="K14" s="65">
        <f t="shared" si="12"/>
        <v>10.773424741116997</v>
      </c>
      <c r="L14" s="65">
        <f t="shared" si="10"/>
        <v>2.419354838709677</v>
      </c>
      <c r="M14" s="65">
        <f t="shared" si="13"/>
        <v>0.5</v>
      </c>
      <c r="N14" s="94">
        <f t="shared" ref="N14" si="19">+(VLOOKUP(L14,TCrv,2))</f>
        <v>2.885605383917856E-2</v>
      </c>
      <c r="O14" s="65">
        <f t="shared" ref="O14" si="20">+(VLOOKUP(L14,TCrv,3))</f>
        <v>0.10099618843712252</v>
      </c>
      <c r="P14" s="94">
        <f t="shared" ref="P14" si="21">+N14+O14*(L14-M14)</f>
        <v>0.22270357680720398</v>
      </c>
    </row>
    <row r="15" spans="1:16" x14ac:dyDescent="0.35">
      <c r="A15" s="2" t="s">
        <v>455</v>
      </c>
      <c r="B15" s="65">
        <f t="shared" si="15"/>
        <v>10.666370855260029</v>
      </c>
      <c r="C15" s="65">
        <f t="shared" si="16"/>
        <v>0.53442415823563039</v>
      </c>
      <c r="D15" s="2">
        <f t="shared" si="17"/>
        <v>3.7200000000000006</v>
      </c>
      <c r="E15" s="134">
        <f>+main!$C$121</f>
        <v>1.3293650793650715E-3</v>
      </c>
      <c r="F15" s="65"/>
      <c r="G15" s="2"/>
      <c r="H15" s="2"/>
      <c r="I15" s="65">
        <v>10</v>
      </c>
      <c r="J15" s="65">
        <f t="shared" ref="J15" si="22">+K15*1.05-0.2836</f>
        <v>11.042334968264257</v>
      </c>
      <c r="K15" s="65">
        <f t="shared" si="12"/>
        <v>10.786604731680244</v>
      </c>
      <c r="L15" s="65">
        <f t="shared" si="10"/>
        <v>2.6881720430107521</v>
      </c>
      <c r="M15" s="65">
        <f t="shared" si="13"/>
        <v>0.5</v>
      </c>
      <c r="N15" s="94">
        <f t="shared" ref="N15" si="23">+(VLOOKUP(L15,TCrv,2))</f>
        <v>2.885605383917856E-2</v>
      </c>
      <c r="O15" s="65">
        <f t="shared" ref="O15" si="24">+(VLOOKUP(L15,TCrv,3))</f>
        <v>0.10099618843712252</v>
      </c>
      <c r="P15" s="94">
        <f t="shared" ref="P15" si="25">+N15+O15*(L15-M15)</f>
        <v>0.24985308982793583</v>
      </c>
    </row>
    <row r="16" spans="1:16" x14ac:dyDescent="0.35">
      <c r="A16" s="2" t="s">
        <v>455</v>
      </c>
      <c r="B16" s="65">
        <f>+B13</f>
        <v>10.666370855260029</v>
      </c>
      <c r="C16" s="65">
        <f>+C13</f>
        <v>0.53442415823563039</v>
      </c>
      <c r="D16" s="2">
        <f>+D13</f>
        <v>3.7200000000000006</v>
      </c>
      <c r="E16" s="134">
        <f>+main!$C$121</f>
        <v>1.3293650793650715E-3</v>
      </c>
      <c r="F16" s="2"/>
      <c r="G16" s="2"/>
      <c r="H16" s="2"/>
      <c r="I16" s="2">
        <v>13</v>
      </c>
      <c r="J16" s="65">
        <f t="shared" si="11"/>
        <v>11.073840483145082</v>
      </c>
      <c r="K16" s="65">
        <f t="shared" si="12"/>
        <v>10.816609983947696</v>
      </c>
      <c r="L16" s="65">
        <f t="shared" si="10"/>
        <v>3.4946236559139781</v>
      </c>
      <c r="M16" s="65">
        <f t="shared" si="13"/>
        <v>3</v>
      </c>
      <c r="N16" s="94">
        <f t="shared" si="2"/>
        <v>0.28134652493198486</v>
      </c>
      <c r="O16" s="65">
        <f t="shared" si="3"/>
        <v>6.4926121138150161E-2</v>
      </c>
      <c r="P16" s="94">
        <f t="shared" si="14"/>
        <v>0.31346052033365052</v>
      </c>
    </row>
    <row r="17" spans="1:16" x14ac:dyDescent="0.35">
      <c r="A17" s="2" t="s">
        <v>849</v>
      </c>
      <c r="B17" s="65">
        <f>+$B$44-gas!$C$46*main!$C$130</f>
        <v>10.568928019315338</v>
      </c>
      <c r="C17" s="65">
        <f>+C14</f>
        <v>0.53442415823563039</v>
      </c>
      <c r="D17" s="2">
        <f>+D14</f>
        <v>3.7200000000000006</v>
      </c>
      <c r="E17" s="134">
        <f>+main!$C$121*(1+main!$C$130)</f>
        <v>2.3043953535031125E-3</v>
      </c>
      <c r="F17" s="2"/>
      <c r="G17" s="2"/>
      <c r="H17" s="2"/>
      <c r="I17" s="2">
        <v>0</v>
      </c>
      <c r="J17" s="65">
        <f t="shared" ref="J17" si="26">+K17*1.05-0.2836</f>
        <v>10.813774420281106</v>
      </c>
      <c r="K17" s="65">
        <f t="shared" ref="K17" si="27">B17+P17*C17-I17*E17</f>
        <v>10.568928019315338</v>
      </c>
      <c r="L17" s="65">
        <f t="shared" ref="L17" si="28">+I17/D17</f>
        <v>0</v>
      </c>
      <c r="M17" s="65">
        <f t="shared" si="13"/>
        <v>0</v>
      </c>
      <c r="N17" s="94">
        <f t="shared" ref="N17" si="29">+(VLOOKUP(L17,TCrv,2))</f>
        <v>0</v>
      </c>
      <c r="O17" s="65">
        <f t="shared" ref="O17" si="30">+(VLOOKUP(L17,TCrv,3))</f>
        <v>5.7712107678357119E-2</v>
      </c>
      <c r="P17" s="94">
        <f t="shared" ref="P17" si="31">+N17+O17*(L17-M17)</f>
        <v>0</v>
      </c>
    </row>
    <row r="18" spans="1:16" x14ac:dyDescent="0.35">
      <c r="A18" s="2" t="str">
        <f>+A17</f>
        <v>11 in (wet) extra wet</v>
      </c>
      <c r="B18" s="65">
        <f>+$B$44-gas!$C$46*main!$C$130</f>
        <v>10.568928019315338</v>
      </c>
      <c r="C18" s="65">
        <f t="shared" ref="C18:D18" si="32">+C15</f>
        <v>0.53442415823563039</v>
      </c>
      <c r="D18" s="2">
        <f t="shared" si="32"/>
        <v>3.7200000000000006</v>
      </c>
      <c r="E18" s="134">
        <f>+main!$C$121*(1+main!$C$130)</f>
        <v>2.3043953535031125E-3</v>
      </c>
      <c r="F18" s="2"/>
      <c r="G18" s="2"/>
      <c r="H18" s="2"/>
      <c r="I18" s="2">
        <v>1</v>
      </c>
      <c r="J18" s="65">
        <f t="shared" ref="J18:J26" si="33">+K18*1.05-0.2836</f>
        <v>10.820060418545493</v>
      </c>
      <c r="K18" s="65">
        <f t="shared" ref="K18:K26" si="34">B18+P18*C18-I18*E18</f>
        <v>10.574914684329041</v>
      </c>
      <c r="L18" s="65">
        <f t="shared" ref="L18:L26" si="35">+I18/D18</f>
        <v>0.2688172043010752</v>
      </c>
      <c r="M18" s="65">
        <f t="shared" si="13"/>
        <v>0</v>
      </c>
      <c r="N18" s="94">
        <f t="shared" ref="N18:N26" si="36">+(VLOOKUP(L18,TCrv,2))</f>
        <v>0</v>
      </c>
      <c r="O18" s="65">
        <f t="shared" ref="O18:O26" si="37">+(VLOOKUP(L18,TCrv,3))</f>
        <v>5.7712107678357119E-2</v>
      </c>
      <c r="P18" s="94">
        <f t="shared" ref="P18:P26" si="38">+N18+O18*(L18-M18)</f>
        <v>1.5514007440418576E-2</v>
      </c>
    </row>
    <row r="19" spans="1:16" x14ac:dyDescent="0.35">
      <c r="A19" s="2" t="str">
        <f t="shared" ref="A19:A26" si="39">+A18</f>
        <v>11 in (wet) extra wet</v>
      </c>
      <c r="B19" s="65">
        <f>+$B$44-gas!$C$46*main!$C$130</f>
        <v>10.568928019315338</v>
      </c>
      <c r="C19" s="65">
        <f t="shared" ref="C19:D19" si="40">+C16</f>
        <v>0.53442415823563039</v>
      </c>
      <c r="D19" s="2">
        <f t="shared" si="40"/>
        <v>3.7200000000000006</v>
      </c>
      <c r="E19" s="134">
        <f>+main!$C$121*(1+main!$C$130)</f>
        <v>2.3043953535031125E-3</v>
      </c>
      <c r="F19" s="2"/>
      <c r="G19" s="2"/>
      <c r="H19" s="2"/>
      <c r="I19" s="2">
        <v>2</v>
      </c>
      <c r="J19" s="65">
        <f t="shared" si="33"/>
        <v>10.827260506215369</v>
      </c>
      <c r="K19" s="65">
        <f t="shared" si="34"/>
        <v>10.581771910681303</v>
      </c>
      <c r="L19" s="65">
        <f t="shared" si="35"/>
        <v>0.53763440860215039</v>
      </c>
      <c r="M19" s="65">
        <f t="shared" si="13"/>
        <v>0.5</v>
      </c>
      <c r="N19" s="94">
        <f t="shared" si="36"/>
        <v>2.885605383917856E-2</v>
      </c>
      <c r="O19" s="65">
        <f t="shared" si="37"/>
        <v>0.10099618843712252</v>
      </c>
      <c r="P19" s="94">
        <f t="shared" si="38"/>
        <v>3.2656985662081008E-2</v>
      </c>
    </row>
    <row r="20" spans="1:16" x14ac:dyDescent="0.35">
      <c r="A20" s="2" t="str">
        <f t="shared" si="39"/>
        <v>11 in (wet) extra wet</v>
      </c>
      <c r="B20" s="65">
        <f>+$B$44-gas!$C$46*main!$C$130</f>
        <v>10.568928019315338</v>
      </c>
      <c r="C20" s="65">
        <f t="shared" ref="C20:D20" si="41">+C17</f>
        <v>0.53442415823563039</v>
      </c>
      <c r="D20" s="2">
        <f t="shared" si="41"/>
        <v>3.7200000000000006</v>
      </c>
      <c r="E20" s="134">
        <f>+main!$C$121*(1+main!$C$130)</f>
        <v>2.3043953535031125E-3</v>
      </c>
      <c r="F20" s="2"/>
      <c r="G20" s="2"/>
      <c r="H20" s="2"/>
      <c r="I20" s="2">
        <v>3</v>
      </c>
      <c r="J20" s="65">
        <f t="shared" si="33"/>
        <v>10.840075714518932</v>
      </c>
      <c r="K20" s="65">
        <f t="shared" si="34"/>
        <v>10.59397687097041</v>
      </c>
      <c r="L20" s="65">
        <f t="shared" si="35"/>
        <v>0.80645161290322565</v>
      </c>
      <c r="M20" s="65">
        <f t="shared" si="13"/>
        <v>0.5</v>
      </c>
      <c r="N20" s="94">
        <f t="shared" si="36"/>
        <v>2.885605383917856E-2</v>
      </c>
      <c r="O20" s="65">
        <f t="shared" si="37"/>
        <v>0.10099618843712252</v>
      </c>
      <c r="P20" s="94">
        <f t="shared" si="38"/>
        <v>5.9806498682812861E-2</v>
      </c>
    </row>
    <row r="21" spans="1:16" x14ac:dyDescent="0.35">
      <c r="A21" s="2" t="str">
        <f t="shared" si="39"/>
        <v>11 in (wet) extra wet</v>
      </c>
      <c r="B21" s="65">
        <f>+$B$44-gas!$C$46*main!$C$130</f>
        <v>10.568928019315338</v>
      </c>
      <c r="C21" s="65">
        <f t="shared" ref="C21:D21" si="42">+C18</f>
        <v>0.53442415823563039</v>
      </c>
      <c r="D21" s="2">
        <f t="shared" si="42"/>
        <v>3.7200000000000006</v>
      </c>
      <c r="E21" s="134">
        <f>+main!$C$121*(1+main!$C$130)</f>
        <v>2.3043953535031125E-3</v>
      </c>
      <c r="F21" s="2"/>
      <c r="G21" s="2"/>
      <c r="H21" s="2"/>
      <c r="I21" s="2">
        <v>4</v>
      </c>
      <c r="J21" s="65">
        <f t="shared" si="33"/>
        <v>10.852890922822498</v>
      </c>
      <c r="K21" s="65">
        <f t="shared" si="34"/>
        <v>10.606181831259521</v>
      </c>
      <c r="L21" s="65">
        <f t="shared" si="35"/>
        <v>1.0752688172043008</v>
      </c>
      <c r="M21" s="65">
        <f t="shared" si="13"/>
        <v>0.5</v>
      </c>
      <c r="N21" s="94">
        <f t="shared" si="36"/>
        <v>2.885605383917856E-2</v>
      </c>
      <c r="O21" s="65">
        <f t="shared" si="37"/>
        <v>0.10099618843712252</v>
      </c>
      <c r="P21" s="94">
        <f t="shared" si="38"/>
        <v>8.6956011703544708E-2</v>
      </c>
    </row>
    <row r="22" spans="1:16" x14ac:dyDescent="0.35">
      <c r="A22" s="2" t="str">
        <f t="shared" si="39"/>
        <v>11 in (wet) extra wet</v>
      </c>
      <c r="B22" s="65">
        <f>+$B$44-gas!$C$46*main!$C$130</f>
        <v>10.568928019315338</v>
      </c>
      <c r="C22" s="65">
        <f t="shared" ref="C22:D22" si="43">+C19</f>
        <v>0.53442415823563039</v>
      </c>
      <c r="D22" s="2">
        <f t="shared" si="43"/>
        <v>3.7200000000000006</v>
      </c>
      <c r="E22" s="134">
        <f>+main!$C$121*(1+main!$C$130)</f>
        <v>2.3043953535031125E-3</v>
      </c>
      <c r="F22" s="2"/>
      <c r="G22" s="2"/>
      <c r="H22" s="2"/>
      <c r="I22" s="2">
        <v>5</v>
      </c>
      <c r="J22" s="65">
        <f t="shared" si="33"/>
        <v>10.865706131126062</v>
      </c>
      <c r="K22" s="65">
        <f t="shared" si="34"/>
        <v>10.61838679154863</v>
      </c>
      <c r="L22" s="65">
        <f t="shared" si="35"/>
        <v>1.344086021505376</v>
      </c>
      <c r="M22" s="65">
        <f t="shared" si="13"/>
        <v>0.5</v>
      </c>
      <c r="N22" s="94">
        <f t="shared" si="36"/>
        <v>2.885605383917856E-2</v>
      </c>
      <c r="O22" s="65">
        <f t="shared" si="37"/>
        <v>0.10099618843712252</v>
      </c>
      <c r="P22" s="94">
        <f t="shared" si="38"/>
        <v>0.11410552472427657</v>
      </c>
    </row>
    <row r="23" spans="1:16" x14ac:dyDescent="0.35">
      <c r="A23" s="2" t="str">
        <f t="shared" si="39"/>
        <v>11 in (wet) extra wet</v>
      </c>
      <c r="B23" s="65">
        <f>+$B$44-gas!$C$46*main!$C$130</f>
        <v>10.568928019315338</v>
      </c>
      <c r="C23" s="65">
        <f t="shared" ref="C23:D23" si="44">+C20</f>
        <v>0.53442415823563039</v>
      </c>
      <c r="D23" s="2">
        <f t="shared" si="44"/>
        <v>3.7200000000000006</v>
      </c>
      <c r="E23" s="134">
        <f>+main!$C$121*(1+main!$C$130)</f>
        <v>2.3043953535031125E-3</v>
      </c>
      <c r="F23" s="2"/>
      <c r="G23" s="2"/>
      <c r="H23" s="2"/>
      <c r="I23" s="2">
        <v>6</v>
      </c>
      <c r="J23" s="65">
        <f t="shared" si="33"/>
        <v>10.878521339429625</v>
      </c>
      <c r="K23" s="65">
        <f t="shared" si="34"/>
        <v>10.630591751837738</v>
      </c>
      <c r="L23" s="65">
        <f t="shared" si="35"/>
        <v>1.6129032258064513</v>
      </c>
      <c r="M23" s="65">
        <f t="shared" si="13"/>
        <v>0.5</v>
      </c>
      <c r="N23" s="94">
        <f t="shared" si="36"/>
        <v>2.885605383917856E-2</v>
      </c>
      <c r="O23" s="65">
        <f t="shared" si="37"/>
        <v>0.10099618843712252</v>
      </c>
      <c r="P23" s="94">
        <f t="shared" si="38"/>
        <v>0.14125503774500842</v>
      </c>
    </row>
    <row r="24" spans="1:16" x14ac:dyDescent="0.35">
      <c r="A24" s="2" t="str">
        <f t="shared" si="39"/>
        <v>11 in (wet) extra wet</v>
      </c>
      <c r="B24" s="65">
        <f>+$B$44-gas!$C$46*main!$C$130</f>
        <v>10.568928019315338</v>
      </c>
      <c r="C24" s="65">
        <f t="shared" ref="C24:D24" si="45">+C21</f>
        <v>0.53442415823563039</v>
      </c>
      <c r="D24" s="2">
        <f t="shared" si="45"/>
        <v>3.7200000000000006</v>
      </c>
      <c r="E24" s="134">
        <f>+main!$C$121*(1+main!$C$130)</f>
        <v>2.3043953535031125E-3</v>
      </c>
      <c r="F24" s="2"/>
      <c r="G24" s="2"/>
      <c r="H24" s="2"/>
      <c r="I24" s="2">
        <v>7</v>
      </c>
      <c r="J24" s="65">
        <f t="shared" si="33"/>
        <v>10.891336547733189</v>
      </c>
      <c r="K24" s="65">
        <f t="shared" si="34"/>
        <v>10.642796712126847</v>
      </c>
      <c r="L24" s="65">
        <f t="shared" si="35"/>
        <v>1.8817204301075265</v>
      </c>
      <c r="M24" s="65">
        <f t="shared" si="13"/>
        <v>0.5</v>
      </c>
      <c r="N24" s="94">
        <f t="shared" si="36"/>
        <v>2.885605383917856E-2</v>
      </c>
      <c r="O24" s="65">
        <f t="shared" si="37"/>
        <v>0.10099618843712252</v>
      </c>
      <c r="P24" s="94">
        <f t="shared" si="38"/>
        <v>0.16840455076574029</v>
      </c>
    </row>
    <row r="25" spans="1:16" x14ac:dyDescent="0.35">
      <c r="A25" s="2" t="str">
        <f t="shared" si="39"/>
        <v>11 in (wet) extra wet</v>
      </c>
      <c r="B25" s="65">
        <f>+$B$44-gas!$C$46*main!$C$130</f>
        <v>10.568928019315338</v>
      </c>
      <c r="C25" s="65">
        <f t="shared" ref="C25:D25" si="46">+C22</f>
        <v>0.53442415823563039</v>
      </c>
      <c r="D25" s="2">
        <f t="shared" si="46"/>
        <v>3.7200000000000006</v>
      </c>
      <c r="E25" s="134">
        <f>+main!$C$121*(1+main!$C$130)</f>
        <v>2.3043953535031125E-3</v>
      </c>
      <c r="F25" s="2"/>
      <c r="G25" s="2"/>
      <c r="H25" s="2"/>
      <c r="I25" s="2">
        <v>8</v>
      </c>
      <c r="J25" s="65">
        <f t="shared" si="33"/>
        <v>10.904151756036754</v>
      </c>
      <c r="K25" s="65">
        <f t="shared" si="34"/>
        <v>10.655001672415956</v>
      </c>
      <c r="L25" s="65">
        <f t="shared" si="35"/>
        <v>2.1505376344086016</v>
      </c>
      <c r="M25" s="65">
        <f t="shared" si="13"/>
        <v>0.5</v>
      </c>
      <c r="N25" s="94">
        <f t="shared" si="36"/>
        <v>2.885605383917856E-2</v>
      </c>
      <c r="O25" s="65">
        <f t="shared" si="37"/>
        <v>0.10099618843712252</v>
      </c>
      <c r="P25" s="94">
        <f t="shared" si="38"/>
        <v>0.19555406378647211</v>
      </c>
    </row>
    <row r="26" spans="1:16" x14ac:dyDescent="0.35">
      <c r="A26" s="2" t="str">
        <f t="shared" si="39"/>
        <v>11 in (wet) extra wet</v>
      </c>
      <c r="B26" s="65">
        <f>+$B$44-gas!$C$46*main!$C$130</f>
        <v>10.568928019315338</v>
      </c>
      <c r="C26" s="65">
        <f t="shared" ref="C26:D26" si="47">+C23</f>
        <v>0.53442415823563039</v>
      </c>
      <c r="D26" s="2">
        <f t="shared" si="47"/>
        <v>3.7200000000000006</v>
      </c>
      <c r="E26" s="134">
        <f>+main!$C$121*(1+main!$C$130)</f>
        <v>2.3043953535031125E-3</v>
      </c>
      <c r="F26" s="2"/>
      <c r="G26" s="2"/>
      <c r="H26" s="2"/>
      <c r="I26" s="2">
        <v>10</v>
      </c>
      <c r="J26" s="65">
        <f t="shared" si="33"/>
        <v>10.929782172643883</v>
      </c>
      <c r="K26" s="65">
        <f t="shared" si="34"/>
        <v>10.679411592994173</v>
      </c>
      <c r="L26" s="65">
        <f t="shared" si="35"/>
        <v>2.6881720430107521</v>
      </c>
      <c r="M26" s="65">
        <f t="shared" si="13"/>
        <v>0.5</v>
      </c>
      <c r="N26" s="94">
        <f t="shared" si="36"/>
        <v>2.885605383917856E-2</v>
      </c>
      <c r="O26" s="65">
        <f t="shared" si="37"/>
        <v>0.10099618843712252</v>
      </c>
      <c r="P26" s="94">
        <f t="shared" si="38"/>
        <v>0.24985308982793583</v>
      </c>
    </row>
    <row r="27" spans="1:16" x14ac:dyDescent="0.35">
      <c r="A27" s="2"/>
      <c r="B27" s="65"/>
      <c r="C27" s="65"/>
      <c r="D27" s="2"/>
      <c r="E27" s="134"/>
      <c r="F27" s="2"/>
      <c r="G27" s="2"/>
      <c r="H27" s="2"/>
      <c r="I27" s="2"/>
      <c r="J27" s="65"/>
      <c r="K27" s="65"/>
      <c r="L27" s="65"/>
      <c r="M27" s="65"/>
      <c r="N27" s="94"/>
      <c r="O27" s="65"/>
      <c r="P27" s="94"/>
    </row>
    <row r="28" spans="1:16" x14ac:dyDescent="0.35">
      <c r="A28" s="2" t="s">
        <v>498</v>
      </c>
      <c r="B28" s="65">
        <f>+B$5</f>
        <v>10.716370855260029</v>
      </c>
      <c r="C28" s="65">
        <f>+C16</f>
        <v>0.53442415823563039</v>
      </c>
      <c r="D28" s="65">
        <f>+D12</f>
        <v>3.7200000000000006</v>
      </c>
      <c r="E28" s="134">
        <f>+main!$C$121</f>
        <v>1.3293650793650715E-3</v>
      </c>
      <c r="F28" s="2"/>
      <c r="G28" s="2"/>
      <c r="H28" s="2"/>
      <c r="I28" s="65">
        <v>0</v>
      </c>
      <c r="J28" s="65">
        <f t="shared" si="11"/>
        <v>10.968589398023031</v>
      </c>
      <c r="K28" s="65">
        <f t="shared" si="12"/>
        <v>10.716370855260029</v>
      </c>
      <c r="L28" s="65">
        <f t="shared" si="10"/>
        <v>0</v>
      </c>
      <c r="M28" s="65">
        <f t="shared" ref="M28:M38" si="48">+(VLOOKUP(L28,TcrvPD,1))</f>
        <v>0</v>
      </c>
      <c r="N28" s="94">
        <f t="shared" ref="N28:N38" si="49">+(VLOOKUP(L28,TcrvPD,2))</f>
        <v>0</v>
      </c>
      <c r="O28" s="65">
        <f t="shared" ref="O28:O38" si="50">+(VLOOKUP(L28,TcrvPD,3))</f>
        <v>6.7471233884625531E-2</v>
      </c>
      <c r="P28" s="94">
        <f t="shared" ref="P28" si="51">+N28+O28*(L28-M28)</f>
        <v>0</v>
      </c>
    </row>
    <row r="29" spans="1:16" x14ac:dyDescent="0.35">
      <c r="A29" s="2" t="str">
        <f>+A28</f>
        <v>11 in (dry)</v>
      </c>
      <c r="B29" s="65">
        <f t="shared" ref="B29:B33" si="52">+B$5</f>
        <v>10.716370855260029</v>
      </c>
      <c r="C29" s="65">
        <f t="shared" ref="C29:C32" si="53">+C28</f>
        <v>0.53442415823563039</v>
      </c>
      <c r="D29" s="65">
        <f>+D13</f>
        <v>3.7200000000000006</v>
      </c>
      <c r="E29" s="134">
        <f>+main!$C$121</f>
        <v>1.3293650793650715E-3</v>
      </c>
      <c r="F29" s="2"/>
      <c r="G29" s="2"/>
      <c r="H29" s="2"/>
      <c r="I29" s="65">
        <v>3</v>
      </c>
      <c r="J29" s="65">
        <f t="shared" si="11"/>
        <v>11.004374516797483</v>
      </c>
      <c r="K29" s="65">
        <f t="shared" si="12"/>
        <v>10.750451920759508</v>
      </c>
      <c r="L29" s="65">
        <f t="shared" ref="L29:L33" si="54">+I29/D29</f>
        <v>0.80645161290322565</v>
      </c>
      <c r="M29" s="65">
        <f t="shared" si="48"/>
        <v>0.5</v>
      </c>
      <c r="N29" s="94">
        <f t="shared" si="49"/>
        <v>3.3735616942312766E-2</v>
      </c>
      <c r="O29" s="65">
        <f t="shared" si="50"/>
        <v>0.12236308518059147</v>
      </c>
      <c r="P29" s="94">
        <f t="shared" ref="P29:P34" si="55">+N29+O29*(L29-M29)</f>
        <v>7.1233981755719808E-2</v>
      </c>
    </row>
    <row r="30" spans="1:16" x14ac:dyDescent="0.35">
      <c r="A30" s="2" t="str">
        <f t="shared" ref="A30:A32" si="56">+A29</f>
        <v>11 in (dry)</v>
      </c>
      <c r="B30" s="65">
        <f t="shared" si="52"/>
        <v>10.716370855260029</v>
      </c>
      <c r="C30" s="65">
        <f t="shared" si="53"/>
        <v>0.53442415823563039</v>
      </c>
      <c r="D30" s="65">
        <f>+D16</f>
        <v>3.7200000000000006</v>
      </c>
      <c r="E30" s="134">
        <f>+main!$C$121</f>
        <v>1.3293650793650715E-3</v>
      </c>
      <c r="F30" s="2"/>
      <c r="G30" s="2"/>
      <c r="H30" s="2"/>
      <c r="I30" s="65">
        <v>6</v>
      </c>
      <c r="J30" s="65">
        <f t="shared" si="11"/>
        <v>11.055560789568926</v>
      </c>
      <c r="K30" s="65">
        <f t="shared" si="12"/>
        <v>10.799200751970405</v>
      </c>
      <c r="L30" s="65">
        <f t="shared" si="54"/>
        <v>1.6129032258064513</v>
      </c>
      <c r="M30" s="65">
        <f t="shared" si="48"/>
        <v>0.5</v>
      </c>
      <c r="N30" s="94">
        <f t="shared" si="49"/>
        <v>3.3735616942312766E-2</v>
      </c>
      <c r="O30" s="65">
        <f t="shared" si="50"/>
        <v>0.12236308518059147</v>
      </c>
      <c r="P30" s="94">
        <f t="shared" si="55"/>
        <v>0.16991388915942257</v>
      </c>
    </row>
    <row r="31" spans="1:16" x14ac:dyDescent="0.35">
      <c r="A31" s="2" t="str">
        <f t="shared" si="56"/>
        <v>11 in (dry)</v>
      </c>
      <c r="B31" s="65">
        <f t="shared" si="52"/>
        <v>10.716370855260029</v>
      </c>
      <c r="C31" s="65">
        <f t="shared" si="53"/>
        <v>0.53442415823563039</v>
      </c>
      <c r="D31" s="65">
        <f t="shared" ref="D31:D32" si="57">+D28</f>
        <v>3.7200000000000006</v>
      </c>
      <c r="E31" s="134">
        <f>+main!$C$121</f>
        <v>1.3293650793650715E-3</v>
      </c>
      <c r="F31" s="2"/>
      <c r="G31" s="2"/>
      <c r="H31" s="2"/>
      <c r="I31" s="65">
        <v>9</v>
      </c>
      <c r="J31" s="65">
        <f t="shared" si="11"/>
        <v>11.10674706234037</v>
      </c>
      <c r="K31" s="65">
        <f t="shared" si="12"/>
        <v>10.847949583181304</v>
      </c>
      <c r="L31" s="65">
        <f t="shared" si="54"/>
        <v>2.419354838709677</v>
      </c>
      <c r="M31" s="65">
        <f t="shared" si="48"/>
        <v>0.5</v>
      </c>
      <c r="N31" s="94">
        <f t="shared" si="49"/>
        <v>3.3735616942312766E-2</v>
      </c>
      <c r="O31" s="65">
        <f t="shared" si="50"/>
        <v>0.12236308518059147</v>
      </c>
      <c r="P31" s="94">
        <f t="shared" si="55"/>
        <v>0.26859379656312538</v>
      </c>
    </row>
    <row r="32" spans="1:16" x14ac:dyDescent="0.35">
      <c r="A32" s="2" t="str">
        <f t="shared" si="56"/>
        <v>11 in (dry)</v>
      </c>
      <c r="B32" s="65">
        <f t="shared" si="52"/>
        <v>10.716370855260029</v>
      </c>
      <c r="C32" s="65">
        <f t="shared" si="53"/>
        <v>0.53442415823563039</v>
      </c>
      <c r="D32" s="65">
        <f t="shared" si="57"/>
        <v>3.7200000000000006</v>
      </c>
      <c r="E32" s="134">
        <f>+main!$C$121</f>
        <v>1.3293650793650715E-3</v>
      </c>
      <c r="F32" s="2"/>
      <c r="G32" s="2"/>
      <c r="H32" s="2"/>
      <c r="I32" s="65">
        <v>10</v>
      </c>
      <c r="J32" s="65">
        <f t="shared" ref="J32" si="58">+K32*1.05-0.2836</f>
        <v>11.123809153264185</v>
      </c>
      <c r="K32" s="65">
        <f t="shared" si="12"/>
        <v>10.864199193584938</v>
      </c>
      <c r="L32" s="65">
        <f t="shared" ref="L32" si="59">+I32/D32</f>
        <v>2.6881720430107521</v>
      </c>
      <c r="M32" s="65">
        <f t="shared" si="48"/>
        <v>0.5</v>
      </c>
      <c r="N32" s="94">
        <f t="shared" si="49"/>
        <v>3.3735616942312766E-2</v>
      </c>
      <c r="O32" s="65">
        <f t="shared" si="50"/>
        <v>0.12236308518059147</v>
      </c>
      <c r="P32" s="94">
        <f t="shared" ref="P32" si="60">+N32+O32*(L32-M32)</f>
        <v>0.30148709903102627</v>
      </c>
    </row>
    <row r="33" spans="1:16" x14ac:dyDescent="0.35">
      <c r="A33" s="2" t="str">
        <f t="shared" ref="A33" si="61">+A31</f>
        <v>11 in (dry)</v>
      </c>
      <c r="B33" s="65">
        <f t="shared" si="52"/>
        <v>10.716370855260029</v>
      </c>
      <c r="C33" s="65">
        <f>+C31</f>
        <v>0.53442415823563039</v>
      </c>
      <c r="D33" s="65">
        <f>+D29</f>
        <v>3.7200000000000006</v>
      </c>
      <c r="E33" s="134">
        <f>+main!$C$121</f>
        <v>1.3293650793650715E-3</v>
      </c>
      <c r="F33" s="2"/>
      <c r="G33" s="2"/>
      <c r="H33" s="2"/>
      <c r="I33" s="65">
        <v>13</v>
      </c>
      <c r="J33" s="65">
        <f t="shared" si="11"/>
        <v>11.165314503518701</v>
      </c>
      <c r="K33" s="65">
        <f t="shared" si="12"/>
        <v>10.903728098589239</v>
      </c>
      <c r="L33" s="65">
        <f t="shared" si="54"/>
        <v>3.4946236559139781</v>
      </c>
      <c r="M33" s="65">
        <f t="shared" si="48"/>
        <v>3</v>
      </c>
      <c r="N33" s="94">
        <f t="shared" si="49"/>
        <v>0.33964332989379142</v>
      </c>
      <c r="O33" s="65">
        <f t="shared" si="50"/>
        <v>8.7483888002945973E-2</v>
      </c>
      <c r="P33" s="94">
        <f t="shared" si="55"/>
        <v>0.38291493041137759</v>
      </c>
    </row>
    <row r="34" spans="1:16" x14ac:dyDescent="0.35">
      <c r="A34" s="2" t="s">
        <v>818</v>
      </c>
      <c r="B34" s="65">
        <f>+B28+gas!$C$37</f>
        <v>10.799225297604075</v>
      </c>
      <c r="C34" s="65">
        <f>+C33</f>
        <v>0.53442415823563039</v>
      </c>
      <c r="D34" s="65">
        <f>+D29</f>
        <v>3.7200000000000006</v>
      </c>
      <c r="E34" s="65"/>
      <c r="F34" s="2"/>
      <c r="G34" s="2"/>
      <c r="H34" s="2"/>
      <c r="I34" s="65">
        <v>0</v>
      </c>
      <c r="J34" s="65">
        <f t="shared" ref="J34" si="62">+K34*1.05-0.2836</f>
        <v>11.05558656248428</v>
      </c>
      <c r="K34" s="65">
        <f t="shared" si="12"/>
        <v>10.799225297604075</v>
      </c>
      <c r="L34" s="65">
        <f>+I34/D34</f>
        <v>0</v>
      </c>
      <c r="M34" s="65">
        <f t="shared" si="48"/>
        <v>0</v>
      </c>
      <c r="N34" s="94">
        <f t="shared" si="49"/>
        <v>0</v>
      </c>
      <c r="O34" s="65">
        <f t="shared" si="50"/>
        <v>6.7471233884625531E-2</v>
      </c>
      <c r="P34" s="94">
        <f t="shared" si="55"/>
        <v>0</v>
      </c>
    </row>
    <row r="35" spans="1:16" x14ac:dyDescent="0.35">
      <c r="A35" s="2" t="str">
        <f>+A34</f>
        <v>11 in (dry, no humidity)</v>
      </c>
      <c r="B35" s="65">
        <f>+B28+gas!$C$37</f>
        <v>10.799225297604075</v>
      </c>
      <c r="C35" s="65">
        <f>+C34</f>
        <v>0.53442415823563039</v>
      </c>
      <c r="D35" s="65">
        <f>+main!$C$112</f>
        <v>3.7200000000000006</v>
      </c>
      <c r="E35" s="65"/>
      <c r="F35" s="2"/>
      <c r="G35" s="2"/>
      <c r="H35" s="2"/>
      <c r="I35" s="65">
        <f>+I29</f>
        <v>3</v>
      </c>
      <c r="J35" s="65">
        <f t="shared" ref="J35:J38" si="63">+K35*1.05-0.2836</f>
        <v>11.09555918125873</v>
      </c>
      <c r="K35" s="65">
        <f t="shared" si="12"/>
        <v>10.837294458341647</v>
      </c>
      <c r="L35" s="65">
        <f t="shared" ref="L35:L38" si="64">+I35/D35</f>
        <v>0.80645161290322565</v>
      </c>
      <c r="M35" s="65">
        <f t="shared" si="48"/>
        <v>0.5</v>
      </c>
      <c r="N35" s="94">
        <f t="shared" si="49"/>
        <v>3.3735616942312766E-2</v>
      </c>
      <c r="O35" s="65">
        <f t="shared" si="50"/>
        <v>0.12236308518059147</v>
      </c>
      <c r="P35" s="94">
        <f t="shared" ref="P35:P38" si="65">+N35+O35*(L35-M35)</f>
        <v>7.1233981755719808E-2</v>
      </c>
    </row>
    <row r="36" spans="1:16" x14ac:dyDescent="0.35">
      <c r="A36" s="2" t="str">
        <f t="shared" ref="A36:A38" si="66">+A35</f>
        <v>11 in (dry, no humidity)</v>
      </c>
      <c r="B36" s="65">
        <f>+B29+gas!$C$37</f>
        <v>10.799225297604075</v>
      </c>
      <c r="C36" s="65">
        <f t="shared" ref="C36:C38" si="67">+C35</f>
        <v>0.53442415823563039</v>
      </c>
      <c r="D36" s="65">
        <f>+main!$C$112</f>
        <v>3.7200000000000006</v>
      </c>
      <c r="E36" s="65"/>
      <c r="F36" s="2"/>
      <c r="G36" s="2"/>
      <c r="H36" s="2"/>
      <c r="I36" s="65">
        <f t="shared" ref="I36:I38" si="68">+I30</f>
        <v>6</v>
      </c>
      <c r="J36" s="65">
        <f t="shared" si="63"/>
        <v>11.150932954030173</v>
      </c>
      <c r="K36" s="65">
        <f t="shared" si="12"/>
        <v>10.890031384790641</v>
      </c>
      <c r="L36" s="65">
        <f t="shared" si="64"/>
        <v>1.6129032258064513</v>
      </c>
      <c r="M36" s="65">
        <f t="shared" si="48"/>
        <v>0.5</v>
      </c>
      <c r="N36" s="94">
        <f t="shared" si="49"/>
        <v>3.3735616942312766E-2</v>
      </c>
      <c r="O36" s="65">
        <f t="shared" si="50"/>
        <v>0.12236308518059147</v>
      </c>
      <c r="P36" s="94">
        <f t="shared" si="65"/>
        <v>0.16991388915942257</v>
      </c>
    </row>
    <row r="37" spans="1:16" x14ac:dyDescent="0.35">
      <c r="A37" s="2" t="str">
        <f t="shared" si="66"/>
        <v>11 in (dry, no humidity)</v>
      </c>
      <c r="B37" s="65">
        <f>+B30+gas!$C$37</f>
        <v>10.799225297604075</v>
      </c>
      <c r="C37" s="65">
        <f t="shared" si="67"/>
        <v>0.53442415823563039</v>
      </c>
      <c r="D37" s="65">
        <f>+main!$C$112</f>
        <v>3.7200000000000006</v>
      </c>
      <c r="E37" s="65"/>
      <c r="F37" s="2"/>
      <c r="G37" s="2"/>
      <c r="H37" s="2"/>
      <c r="I37" s="65">
        <f t="shared" si="68"/>
        <v>9</v>
      </c>
      <c r="J37" s="65">
        <f t="shared" si="63"/>
        <v>11.206306726801618</v>
      </c>
      <c r="K37" s="65">
        <f t="shared" si="12"/>
        <v>10.942768311239636</v>
      </c>
      <c r="L37" s="65">
        <f t="shared" si="64"/>
        <v>2.419354838709677</v>
      </c>
      <c r="M37" s="65">
        <f t="shared" si="48"/>
        <v>0.5</v>
      </c>
      <c r="N37" s="94">
        <f t="shared" si="49"/>
        <v>3.3735616942312766E-2</v>
      </c>
      <c r="O37" s="65">
        <f t="shared" si="50"/>
        <v>0.12236308518059147</v>
      </c>
      <c r="P37" s="94">
        <f t="shared" si="65"/>
        <v>0.26859379656312538</v>
      </c>
    </row>
    <row r="38" spans="1:16" x14ac:dyDescent="0.35">
      <c r="A38" s="2" t="str">
        <f t="shared" si="66"/>
        <v>11 in (dry, no humidity)</v>
      </c>
      <c r="B38" s="65">
        <f>+B31+gas!$C$37</f>
        <v>10.799225297604075</v>
      </c>
      <c r="C38" s="65">
        <f t="shared" si="67"/>
        <v>0.53442415823563039</v>
      </c>
      <c r="D38" s="65">
        <f>+main!$C$112</f>
        <v>3.7200000000000006</v>
      </c>
      <c r="E38" s="65"/>
      <c r="F38" s="2"/>
      <c r="G38" s="2"/>
      <c r="H38" s="2"/>
      <c r="I38" s="65">
        <f t="shared" si="68"/>
        <v>10</v>
      </c>
      <c r="J38" s="65">
        <f t="shared" si="63"/>
        <v>11.224764651058766</v>
      </c>
      <c r="K38" s="65">
        <f t="shared" si="12"/>
        <v>10.960347286722634</v>
      </c>
      <c r="L38" s="65">
        <f t="shared" si="64"/>
        <v>2.6881720430107521</v>
      </c>
      <c r="M38" s="65">
        <f t="shared" si="48"/>
        <v>0.5</v>
      </c>
      <c r="N38" s="94">
        <f t="shared" si="49"/>
        <v>3.3735616942312766E-2</v>
      </c>
      <c r="O38" s="65">
        <f t="shared" si="50"/>
        <v>0.12236308518059147</v>
      </c>
      <c r="P38" s="94">
        <f t="shared" si="65"/>
        <v>0.30148709903102627</v>
      </c>
    </row>
    <row r="39" spans="1:16" x14ac:dyDescent="0.35">
      <c r="A39" s="2" t="s">
        <v>467</v>
      </c>
      <c r="B39" s="65">
        <f>+B16</f>
        <v>10.666370855260029</v>
      </c>
      <c r="C39" s="65">
        <f>+C16</f>
        <v>0.53442415823563039</v>
      </c>
      <c r="D39" s="65">
        <f>+main!C184</f>
        <v>2.4025887265135699</v>
      </c>
      <c r="E39" s="134">
        <f>+main!$C$121</f>
        <v>1.3293650793650715E-3</v>
      </c>
      <c r="F39" s="2"/>
      <c r="G39" s="2"/>
      <c r="H39" s="2"/>
      <c r="I39" s="65">
        <v>0</v>
      </c>
      <c r="J39" s="65">
        <f t="shared" si="11"/>
        <v>10.916089398023031</v>
      </c>
      <c r="K39" s="65">
        <f t="shared" si="12"/>
        <v>10.666370855260029</v>
      </c>
      <c r="L39" s="65">
        <f>+I39/D39</f>
        <v>0</v>
      </c>
      <c r="M39" s="65">
        <f t="shared" ref="M39:M55" si="69">+(VLOOKUP(L39,TCrv,1))</f>
        <v>0</v>
      </c>
      <c r="N39" s="94">
        <f t="shared" ref="N39:N44" si="70">+(VLOOKUP(L39,TCrv,2))</f>
        <v>0</v>
      </c>
      <c r="O39" s="65">
        <f t="shared" ref="O39:O44" si="71">+(VLOOKUP(L39,TCrv,3))</f>
        <v>5.7712107678357119E-2</v>
      </c>
      <c r="P39" s="94">
        <f t="shared" ref="P39" si="72">+N39+O39*(L39-M39)</f>
        <v>0</v>
      </c>
    </row>
    <row r="40" spans="1:16" x14ac:dyDescent="0.35">
      <c r="A40" s="2" t="s">
        <v>467</v>
      </c>
      <c r="B40" s="65">
        <f>+B39</f>
        <v>10.666370855260029</v>
      </c>
      <c r="C40" s="65">
        <f>+C28</f>
        <v>0.53442415823563039</v>
      </c>
      <c r="D40" s="65">
        <f>+D39</f>
        <v>2.4025887265135699</v>
      </c>
      <c r="E40" s="134">
        <f>+main!$C$121</f>
        <v>1.3293650793650715E-3</v>
      </c>
      <c r="F40" s="2"/>
      <c r="G40" s="2"/>
      <c r="H40" s="2"/>
      <c r="I40" s="65">
        <v>2</v>
      </c>
      <c r="J40" s="65">
        <f t="shared" ref="J40" si="73">+K40*1.05-0.2836</f>
        <v>10.948330466416495</v>
      </c>
      <c r="K40" s="65">
        <f t="shared" si="12"/>
        <v>10.697076634682375</v>
      </c>
      <c r="L40" s="65">
        <f>+I40/D40</f>
        <v>0.83243543846234058</v>
      </c>
      <c r="M40" s="65">
        <f t="shared" si="69"/>
        <v>0.5</v>
      </c>
      <c r="N40" s="94">
        <f t="shared" si="70"/>
        <v>2.885605383917856E-2</v>
      </c>
      <c r="O40" s="65">
        <f t="shared" si="71"/>
        <v>0.10099618843712252</v>
      </c>
      <c r="P40" s="94">
        <f t="shared" ref="P40" si="74">+N40+O40*(L40-M40)</f>
        <v>6.2430766025298554E-2</v>
      </c>
    </row>
    <row r="41" spans="1:16" x14ac:dyDescent="0.35">
      <c r="A41" s="2" t="s">
        <v>467</v>
      </c>
      <c r="B41" s="65">
        <f>+K39</f>
        <v>10.666370855260029</v>
      </c>
      <c r="C41" s="65">
        <f>+C39</f>
        <v>0.53442415823563039</v>
      </c>
      <c r="D41" s="65">
        <f>+D39</f>
        <v>2.4025887265135699</v>
      </c>
      <c r="E41" s="134">
        <f>+main!$C$121</f>
        <v>1.3293650793650715E-3</v>
      </c>
      <c r="F41" s="65">
        <f>+G41-J41</f>
        <v>0.19729741972725279</v>
      </c>
      <c r="G41" s="2">
        <v>11.2</v>
      </c>
      <c r="H41" s="2">
        <v>2</v>
      </c>
      <c r="I41" s="65">
        <f>+main!$C$80+(H41-1)*main!$C$83</f>
        <v>4.45</v>
      </c>
      <c r="J41" s="65">
        <f>+K41*1.05-0.2836</f>
        <v>11.002702580272747</v>
      </c>
      <c r="K41" s="65">
        <f t="shared" si="12"/>
        <v>10.748859600259758</v>
      </c>
      <c r="L41" s="65">
        <f t="shared" ref="L41:L78" si="75">+I41/D41</f>
        <v>1.8521688505787077</v>
      </c>
      <c r="M41" s="65">
        <f t="shared" si="69"/>
        <v>0.5</v>
      </c>
      <c r="N41" s="94">
        <f t="shared" si="70"/>
        <v>2.885605383917856E-2</v>
      </c>
      <c r="O41" s="65">
        <f t="shared" si="71"/>
        <v>0.10099618843712252</v>
      </c>
      <c r="P41" s="94">
        <f>+N41+O41*(L41-M41)</f>
        <v>0.16541995387103309</v>
      </c>
    </row>
    <row r="42" spans="1:16" x14ac:dyDescent="0.35">
      <c r="A42" s="2" t="s">
        <v>467</v>
      </c>
      <c r="B42" s="65">
        <f t="shared" ref="B42:C44" si="76">+B41</f>
        <v>10.666370855260029</v>
      </c>
      <c r="C42" s="65">
        <f t="shared" si="76"/>
        <v>0.53442415823563039</v>
      </c>
      <c r="D42" s="65">
        <f t="shared" ref="D42:D67" si="77">+D41</f>
        <v>2.4025887265135699</v>
      </c>
      <c r="E42" s="134">
        <f>+main!$C$121</f>
        <v>1.3293650793650715E-3</v>
      </c>
      <c r="F42" s="65">
        <f t="shared" ref="F42:F75" si="78">+G42-J42</f>
        <v>-2.2676009852593992E-2</v>
      </c>
      <c r="G42" s="2">
        <v>11</v>
      </c>
      <c r="H42" s="2">
        <v>4</v>
      </c>
      <c r="I42" s="65">
        <f>+main!$C$80+(H42-1)*main!$C$83</f>
        <v>5.35</v>
      </c>
      <c r="J42" s="65">
        <f>+K42*1.05-0.2836</f>
        <v>11.022676009852594</v>
      </c>
      <c r="K42" s="65">
        <f t="shared" si="12"/>
        <v>10.767881914145327</v>
      </c>
      <c r="L42" s="65">
        <f t="shared" si="75"/>
        <v>2.2267647978867608</v>
      </c>
      <c r="M42" s="65">
        <f t="shared" si="69"/>
        <v>0.5</v>
      </c>
      <c r="N42" s="94">
        <f t="shared" si="70"/>
        <v>2.885605383917856E-2</v>
      </c>
      <c r="O42" s="65">
        <f t="shared" si="71"/>
        <v>0.10099618843712252</v>
      </c>
      <c r="P42" s="94">
        <f>+N42+O42*(L42-M42)</f>
        <v>0.20325271675313963</v>
      </c>
    </row>
    <row r="43" spans="1:16" x14ac:dyDescent="0.35">
      <c r="A43" s="2" t="s">
        <v>467</v>
      </c>
      <c r="B43" s="65">
        <f t="shared" si="76"/>
        <v>10.666370855260029</v>
      </c>
      <c r="C43" s="65">
        <f t="shared" si="76"/>
        <v>0.53442415823563039</v>
      </c>
      <c r="D43" s="65">
        <f t="shared" si="77"/>
        <v>2.4025887265135699</v>
      </c>
      <c r="E43" s="134">
        <f>+main!$C$121</f>
        <v>1.3293650793650715E-3</v>
      </c>
      <c r="F43" s="65">
        <f t="shared" si="78"/>
        <v>-0.17550091996528927</v>
      </c>
      <c r="G43" s="2">
        <v>10.9</v>
      </c>
      <c r="H43" s="2">
        <v>10</v>
      </c>
      <c r="I43" s="65">
        <f>+main!$C$80+(H43-1)*main!$C$83</f>
        <v>8.0500000000000007</v>
      </c>
      <c r="J43" s="65">
        <f>+K43*1.05-0.2836</f>
        <v>11.07550091996529</v>
      </c>
      <c r="K43" s="65">
        <f t="shared" si="12"/>
        <v>10.818191352347894</v>
      </c>
      <c r="L43" s="65">
        <f>+I43/D43</f>
        <v>3.3505526398109211</v>
      </c>
      <c r="M43" s="65">
        <f t="shared" si="69"/>
        <v>3</v>
      </c>
      <c r="N43" s="94">
        <f t="shared" si="70"/>
        <v>0.28134652493198486</v>
      </c>
      <c r="O43" s="65">
        <f t="shared" si="71"/>
        <v>6.4926121138150161E-2</v>
      </c>
      <c r="P43" s="94">
        <f>+N43+O43*(L43-M43)</f>
        <v>0.30410654808964704</v>
      </c>
    </row>
    <row r="44" spans="1:16" x14ac:dyDescent="0.35">
      <c r="A44" s="2" t="s">
        <v>467</v>
      </c>
      <c r="B44" s="65">
        <f t="shared" si="76"/>
        <v>10.666370855260029</v>
      </c>
      <c r="C44" s="65">
        <f t="shared" si="76"/>
        <v>0.53442415823563039</v>
      </c>
      <c r="D44" s="65">
        <f t="shared" si="77"/>
        <v>2.4025887265135699</v>
      </c>
      <c r="E44" s="134">
        <f>+main!$C$121</f>
        <v>1.3293650793650715E-3</v>
      </c>
      <c r="F44" s="65"/>
      <c r="G44" s="2"/>
      <c r="H44" s="2"/>
      <c r="I44" s="65">
        <v>10</v>
      </c>
      <c r="J44" s="65">
        <f>+K44*1.05-0.2836</f>
        <v>11.102348955808647</v>
      </c>
      <c r="K44" s="65">
        <f t="shared" si="12"/>
        <v>10.84376091029395</v>
      </c>
      <c r="L44" s="65">
        <f>+I44/D44</f>
        <v>4.1621771923117024</v>
      </c>
      <c r="M44" s="65">
        <f t="shared" si="69"/>
        <v>3</v>
      </c>
      <c r="N44" s="94">
        <f t="shared" si="70"/>
        <v>0.28134652493198486</v>
      </c>
      <c r="O44" s="65">
        <f t="shared" si="71"/>
        <v>6.4926121138150161E-2</v>
      </c>
      <c r="P44" s="94">
        <f>+N44+O44*(L44-M44)</f>
        <v>0.35680218210400971</v>
      </c>
    </row>
    <row r="45" spans="1:16" x14ac:dyDescent="0.35">
      <c r="A45" s="2" t="s">
        <v>848</v>
      </c>
      <c r="B45" s="65">
        <f>+$B$44-gas!$C$46*graphs!$H$219</f>
        <v>10.533516412915983</v>
      </c>
      <c r="C45" s="65">
        <f t="shared" ref="C45" si="79">+C44</f>
        <v>0.53442415823563039</v>
      </c>
      <c r="D45" s="65">
        <f t="shared" si="77"/>
        <v>2.4025887265135699</v>
      </c>
      <c r="E45" s="134">
        <f>+main!$C$121*(1+graphs!$H$219)</f>
        <v>2.658730158730143E-3</v>
      </c>
      <c r="F45" s="65"/>
      <c r="G45" s="2"/>
      <c r="H45" s="2"/>
      <c r="I45" s="65">
        <v>0</v>
      </c>
      <c r="J45" s="65">
        <f>+K45*1.05-0.2836</f>
        <v>10.776592233561782</v>
      </c>
      <c r="K45" s="65">
        <f t="shared" ref="K45" si="80">B45+P45*C45-I45*E45</f>
        <v>10.533516412915983</v>
      </c>
      <c r="L45" s="65">
        <f>+I45/D45</f>
        <v>0</v>
      </c>
      <c r="M45" s="65">
        <f t="shared" si="69"/>
        <v>0</v>
      </c>
      <c r="N45" s="94">
        <f t="shared" ref="N45" si="81">+(VLOOKUP(L45,TCrv,2))</f>
        <v>0</v>
      </c>
      <c r="O45" s="65">
        <f t="shared" ref="O45" si="82">+(VLOOKUP(L45,TCrv,3))</f>
        <v>5.7712107678357119E-2</v>
      </c>
      <c r="P45" s="94">
        <f>+N45+O45*(L45-M45)</f>
        <v>0</v>
      </c>
    </row>
    <row r="46" spans="1:16" x14ac:dyDescent="0.35">
      <c r="A46" s="2" t="str">
        <f>+A45</f>
        <v>3 in the whole time extra wet</v>
      </c>
      <c r="B46" s="65">
        <f>+$B$44-gas!$C$46*graphs!$H$219</f>
        <v>10.533516412915983</v>
      </c>
      <c r="C46" s="65">
        <f t="shared" ref="C46" si="83">+C45</f>
        <v>0.53442415823563039</v>
      </c>
      <c r="D46" s="65">
        <f t="shared" si="77"/>
        <v>2.4025887265135699</v>
      </c>
      <c r="E46" s="134">
        <f>+main!$C$121*(1+graphs!$H$219)</f>
        <v>2.658730158730143E-3</v>
      </c>
      <c r="F46" s="65"/>
      <c r="G46" s="2"/>
      <c r="H46" s="2"/>
      <c r="I46" s="65">
        <v>1</v>
      </c>
      <c r="J46" s="65">
        <f t="shared" ref="J46:J53" si="84">+K46*1.05-0.2836</f>
        <v>10.787279728533115</v>
      </c>
      <c r="K46" s="65">
        <f t="shared" ref="K46:K53" si="85">B46+P46*C46-I46*E46</f>
        <v>10.543694979555347</v>
      </c>
      <c r="L46" s="65">
        <f t="shared" ref="L46:L53" si="86">+I46/D46</f>
        <v>0.41621771923117029</v>
      </c>
      <c r="M46" s="65">
        <f t="shared" si="69"/>
        <v>0</v>
      </c>
      <c r="N46" s="94">
        <f t="shared" ref="N46:N53" si="87">+(VLOOKUP(L46,TCrv,2))</f>
        <v>0</v>
      </c>
      <c r="O46" s="65">
        <f t="shared" ref="O46:O53" si="88">+(VLOOKUP(L46,TCrv,3))</f>
        <v>5.7712107678357119E-2</v>
      </c>
      <c r="P46" s="94">
        <f t="shared" ref="P46:P53" si="89">+N46+O46*(L46-M46)</f>
        <v>2.4020801829909511E-2</v>
      </c>
    </row>
    <row r="47" spans="1:16" x14ac:dyDescent="0.35">
      <c r="A47" s="2" t="str">
        <f>+A46</f>
        <v>3 in the whole time extra wet</v>
      </c>
      <c r="B47" s="65">
        <f>+$B$44-gas!$C$46*graphs!$H$219</f>
        <v>10.533516412915983</v>
      </c>
      <c r="C47" s="65">
        <f>+C45</f>
        <v>0.53442415823563039</v>
      </c>
      <c r="D47" s="65">
        <f>+D45</f>
        <v>2.4025887265135699</v>
      </c>
      <c r="E47" s="134">
        <f>+main!$C$121*(1+graphs!$H$219)</f>
        <v>2.658730158730143E-3</v>
      </c>
      <c r="F47" s="65"/>
      <c r="G47" s="2"/>
      <c r="H47" s="2"/>
      <c r="I47" s="65">
        <v>2</v>
      </c>
      <c r="J47" s="65">
        <f t="shared" si="84"/>
        <v>10.80604163528858</v>
      </c>
      <c r="K47" s="65">
        <f t="shared" si="85"/>
        <v>10.561563462179599</v>
      </c>
      <c r="L47" s="65">
        <f t="shared" si="86"/>
        <v>0.83243543846234058</v>
      </c>
      <c r="M47" s="65">
        <f t="shared" si="69"/>
        <v>0.5</v>
      </c>
      <c r="N47" s="94">
        <f t="shared" si="87"/>
        <v>2.885605383917856E-2</v>
      </c>
      <c r="O47" s="65">
        <f t="shared" si="88"/>
        <v>0.10099618843712252</v>
      </c>
      <c r="P47" s="94">
        <f t="shared" si="89"/>
        <v>6.2430766025298554E-2</v>
      </c>
    </row>
    <row r="48" spans="1:16" x14ac:dyDescent="0.35">
      <c r="A48" s="2" t="str">
        <f t="shared" ref="A48:A55" si="90">+A47</f>
        <v>3 in the whole time extra wet</v>
      </c>
      <c r="B48" s="65">
        <f>+$B$44-gas!$C$46*graphs!$H$219</f>
        <v>10.533516412915983</v>
      </c>
      <c r="C48" s="65">
        <f t="shared" ref="C48:D48" si="91">+C46</f>
        <v>0.53442415823563039</v>
      </c>
      <c r="D48" s="65">
        <f t="shared" si="91"/>
        <v>2.4025887265135699</v>
      </c>
      <c r="E48" s="134">
        <f>+main!$C$121*(1+graphs!$H$219)</f>
        <v>2.658730158730143E-3</v>
      </c>
      <c r="F48" s="65"/>
      <c r="G48" s="2"/>
      <c r="H48" s="2"/>
      <c r="I48" s="65">
        <v>3</v>
      </c>
      <c r="J48" s="65">
        <f t="shared" si="84"/>
        <v>10.82683850148841</v>
      </c>
      <c r="K48" s="65">
        <f t="shared" si="85"/>
        <v>10.581370001417532</v>
      </c>
      <c r="L48" s="65">
        <f t="shared" si="86"/>
        <v>1.2486531576935109</v>
      </c>
      <c r="M48" s="65">
        <f t="shared" si="69"/>
        <v>0.5</v>
      </c>
      <c r="N48" s="94">
        <f t="shared" si="87"/>
        <v>2.885605383917856E-2</v>
      </c>
      <c r="O48" s="65">
        <f t="shared" si="88"/>
        <v>0.10099618843712252</v>
      </c>
      <c r="P48" s="94">
        <f t="shared" si="89"/>
        <v>0.10446716922763918</v>
      </c>
    </row>
    <row r="49" spans="1:16" x14ac:dyDescent="0.35">
      <c r="A49" s="2" t="str">
        <f t="shared" si="90"/>
        <v>3 in the whole time extra wet</v>
      </c>
      <c r="B49" s="65">
        <f>+$B$44-gas!$C$46*graphs!$H$219</f>
        <v>10.533516412915983</v>
      </c>
      <c r="C49" s="65">
        <f t="shared" ref="C49:D49" si="92">+C47</f>
        <v>0.53442415823563039</v>
      </c>
      <c r="D49" s="65">
        <f t="shared" si="92"/>
        <v>2.4025887265135699</v>
      </c>
      <c r="E49" s="134">
        <f>+main!$C$121*(1+graphs!$H$219)</f>
        <v>2.658730158730143E-3</v>
      </c>
      <c r="F49" s="65"/>
      <c r="G49" s="2"/>
      <c r="H49" s="2"/>
      <c r="I49" s="65">
        <v>4</v>
      </c>
      <c r="J49" s="65">
        <f t="shared" si="84"/>
        <v>10.847635367688239</v>
      </c>
      <c r="K49" s="65">
        <f t="shared" si="85"/>
        <v>10.601176540655466</v>
      </c>
      <c r="L49" s="65">
        <f t="shared" si="86"/>
        <v>1.6648708769246812</v>
      </c>
      <c r="M49" s="65">
        <f t="shared" si="69"/>
        <v>0.5</v>
      </c>
      <c r="N49" s="94">
        <f t="shared" si="87"/>
        <v>2.885605383917856E-2</v>
      </c>
      <c r="O49" s="65">
        <f t="shared" si="88"/>
        <v>0.10099618843712252</v>
      </c>
      <c r="P49" s="94">
        <f t="shared" si="89"/>
        <v>0.1465035724299798</v>
      </c>
    </row>
    <row r="50" spans="1:16" x14ac:dyDescent="0.35">
      <c r="A50" s="2" t="str">
        <f t="shared" si="90"/>
        <v>3 in the whole time extra wet</v>
      </c>
      <c r="B50" s="65">
        <f>+$B$44-gas!$C$46*graphs!$H$219</f>
        <v>10.533516412915983</v>
      </c>
      <c r="C50" s="65">
        <f t="shared" ref="C50:D50" si="93">+C48</f>
        <v>0.53442415823563039</v>
      </c>
      <c r="D50" s="65">
        <f t="shared" si="93"/>
        <v>2.4025887265135699</v>
      </c>
      <c r="E50" s="134">
        <f>+main!$C$121*(1+graphs!$H$219)</f>
        <v>2.658730158730143E-3</v>
      </c>
      <c r="F50" s="65"/>
      <c r="G50" s="2"/>
      <c r="H50" s="2"/>
      <c r="I50" s="65">
        <v>4</v>
      </c>
      <c r="J50" s="65">
        <f t="shared" si="84"/>
        <v>10.847635367688239</v>
      </c>
      <c r="K50" s="65">
        <f t="shared" si="85"/>
        <v>10.601176540655466</v>
      </c>
      <c r="L50" s="65">
        <f t="shared" si="86"/>
        <v>1.6648708769246812</v>
      </c>
      <c r="M50" s="65">
        <f t="shared" si="69"/>
        <v>0.5</v>
      </c>
      <c r="N50" s="94">
        <f t="shared" si="87"/>
        <v>2.885605383917856E-2</v>
      </c>
      <c r="O50" s="65">
        <f t="shared" si="88"/>
        <v>0.10099618843712252</v>
      </c>
      <c r="P50" s="94">
        <f t="shared" si="89"/>
        <v>0.1465035724299798</v>
      </c>
    </row>
    <row r="51" spans="1:16" x14ac:dyDescent="0.35">
      <c r="A51" s="2" t="str">
        <f t="shared" si="90"/>
        <v>3 in the whole time extra wet</v>
      </c>
      <c r="B51" s="65">
        <f>+$B$44-gas!$C$46*graphs!$H$219</f>
        <v>10.533516412915983</v>
      </c>
      <c r="C51" s="65">
        <f t="shared" ref="C51:D51" si="94">+C49</f>
        <v>0.53442415823563039</v>
      </c>
      <c r="D51" s="65">
        <f t="shared" si="94"/>
        <v>2.4025887265135699</v>
      </c>
      <c r="E51" s="134">
        <f>+main!$C$121*(1+graphs!$H$219)</f>
        <v>2.658730158730143E-3</v>
      </c>
      <c r="F51" s="65"/>
      <c r="G51" s="2"/>
      <c r="H51" s="2"/>
      <c r="I51" s="65">
        <v>5</v>
      </c>
      <c r="J51" s="65">
        <f t="shared" si="84"/>
        <v>10.868432233888072</v>
      </c>
      <c r="K51" s="65">
        <f t="shared" si="85"/>
        <v>10.620983079893401</v>
      </c>
      <c r="L51" s="65">
        <f t="shared" si="86"/>
        <v>2.0810885961558512</v>
      </c>
      <c r="M51" s="65">
        <f t="shared" si="69"/>
        <v>0.5</v>
      </c>
      <c r="N51" s="94">
        <f t="shared" si="87"/>
        <v>2.885605383917856E-2</v>
      </c>
      <c r="O51" s="65">
        <f t="shared" si="88"/>
        <v>0.10099618843712252</v>
      </c>
      <c r="P51" s="94">
        <f t="shared" si="89"/>
        <v>0.18853997563232042</v>
      </c>
    </row>
    <row r="52" spans="1:16" x14ac:dyDescent="0.35">
      <c r="A52" s="2" t="str">
        <f t="shared" si="90"/>
        <v>3 in the whole time extra wet</v>
      </c>
      <c r="B52" s="65">
        <f>+$B$44-gas!$C$46*graphs!$H$219</f>
        <v>10.533516412915983</v>
      </c>
      <c r="C52" s="65">
        <f t="shared" ref="C52:D52" si="95">+C50</f>
        <v>0.53442415823563039</v>
      </c>
      <c r="D52" s="65">
        <f t="shared" si="95"/>
        <v>2.4025887265135699</v>
      </c>
      <c r="E52" s="134">
        <f>+main!$C$121*(1+graphs!$H$219)</f>
        <v>2.658730158730143E-3</v>
      </c>
      <c r="F52" s="65"/>
      <c r="G52" s="2"/>
      <c r="H52" s="2"/>
      <c r="I52" s="65">
        <v>6</v>
      </c>
      <c r="J52" s="65">
        <f t="shared" si="84"/>
        <v>10.889229100087903</v>
      </c>
      <c r="K52" s="65">
        <f t="shared" si="85"/>
        <v>10.640789619131334</v>
      </c>
      <c r="L52" s="65">
        <f t="shared" si="86"/>
        <v>2.4973063153870219</v>
      </c>
      <c r="M52" s="65">
        <f t="shared" si="69"/>
        <v>0.5</v>
      </c>
      <c r="N52" s="94">
        <f t="shared" si="87"/>
        <v>2.885605383917856E-2</v>
      </c>
      <c r="O52" s="65">
        <f t="shared" si="88"/>
        <v>0.10099618843712252</v>
      </c>
      <c r="P52" s="94">
        <f t="shared" si="89"/>
        <v>0.23057637883466106</v>
      </c>
    </row>
    <row r="53" spans="1:16" x14ac:dyDescent="0.35">
      <c r="A53" s="2" t="str">
        <f t="shared" si="90"/>
        <v>3 in the whole time extra wet</v>
      </c>
      <c r="B53" s="65">
        <f>+$B$44-gas!$C$46*graphs!$H$219</f>
        <v>10.533516412915983</v>
      </c>
      <c r="C53" s="65">
        <f t="shared" ref="C53:D53" si="96">+C51</f>
        <v>0.53442415823563039</v>
      </c>
      <c r="D53" s="65">
        <f t="shared" si="96"/>
        <v>2.4025887265135699</v>
      </c>
      <c r="E53" s="134">
        <f>+main!$C$121*(1+graphs!$H$219)</f>
        <v>2.658730158730143E-3</v>
      </c>
      <c r="F53" s="65"/>
      <c r="G53" s="2"/>
      <c r="H53" s="2"/>
      <c r="I53" s="65">
        <v>7</v>
      </c>
      <c r="J53" s="65">
        <f t="shared" si="84"/>
        <v>10.910025966287733</v>
      </c>
      <c r="K53" s="65">
        <f t="shared" si="85"/>
        <v>10.66059615836927</v>
      </c>
      <c r="L53" s="65">
        <f t="shared" si="86"/>
        <v>2.9135240346181921</v>
      </c>
      <c r="M53" s="65">
        <f t="shared" si="69"/>
        <v>0.5</v>
      </c>
      <c r="N53" s="94">
        <f t="shared" si="87"/>
        <v>2.885605383917856E-2</v>
      </c>
      <c r="O53" s="65">
        <f t="shared" si="88"/>
        <v>0.10099618843712252</v>
      </c>
      <c r="P53" s="94">
        <f t="shared" si="89"/>
        <v>0.27261278203700173</v>
      </c>
    </row>
    <row r="54" spans="1:16" x14ac:dyDescent="0.35">
      <c r="A54" s="2" t="str">
        <f t="shared" si="90"/>
        <v>3 in the whole time extra wet</v>
      </c>
      <c r="B54" s="65">
        <f>+$B$44-gas!$C$46*graphs!$H$219</f>
        <v>10.533516412915983</v>
      </c>
      <c r="C54" s="65">
        <f t="shared" ref="C54" si="97">+C52</f>
        <v>0.53442415823563039</v>
      </c>
      <c r="D54" s="65">
        <f>+D52</f>
        <v>2.4025887265135699</v>
      </c>
      <c r="E54" s="134">
        <f>+main!$C$121*(1+graphs!$H$219)</f>
        <v>2.658730158730143E-3</v>
      </c>
      <c r="F54" s="65"/>
      <c r="G54" s="2"/>
      <c r="H54" s="2"/>
      <c r="I54" s="65">
        <v>8</v>
      </c>
      <c r="J54" s="65">
        <f t="shared" ref="J54:J55" si="98">+K54*1.05-0.2836</f>
        <v>10.924148677661902</v>
      </c>
      <c r="K54" s="65">
        <f t="shared" ref="K54" si="99">B54+P54*C54-I54*E54</f>
        <v>10.674046359678002</v>
      </c>
      <c r="L54" s="65">
        <f t="shared" ref="L54" si="100">+I54/D54</f>
        <v>3.3297417538493623</v>
      </c>
      <c r="M54" s="65">
        <f t="shared" si="69"/>
        <v>3</v>
      </c>
      <c r="N54" s="94">
        <f t="shared" ref="N54" si="101">+(VLOOKUP(L54,TCrv,2))</f>
        <v>0.28134652493198486</v>
      </c>
      <c r="O54" s="65">
        <f t="shared" ref="O54" si="102">+(VLOOKUP(L54,TCrv,3))</f>
        <v>6.4926121138150161E-2</v>
      </c>
      <c r="P54" s="94">
        <f t="shared" ref="P54" si="103">+N54+O54*(L54-M54)</f>
        <v>0.30275537798671465</v>
      </c>
    </row>
    <row r="55" spans="1:16" x14ac:dyDescent="0.35">
      <c r="A55" s="2" t="str">
        <f t="shared" si="90"/>
        <v>3 in the whole time extra wet</v>
      </c>
      <c r="B55" s="65">
        <f>+$B$44-gas!$C$46*graphs!$H$219</f>
        <v>10.533516412915983</v>
      </c>
      <c r="C55" s="65">
        <f t="shared" ref="C55" si="104">+C54</f>
        <v>0.53442415823563039</v>
      </c>
      <c r="D55" s="65">
        <f t="shared" si="77"/>
        <v>2.4025887265135699</v>
      </c>
      <c r="E55" s="134">
        <f>+main!$C$121*(1+graphs!$H$219)</f>
        <v>2.658730158730143E-3</v>
      </c>
      <c r="F55" s="65"/>
      <c r="G55" s="2"/>
      <c r="H55" s="2"/>
      <c r="I55" s="65">
        <v>10</v>
      </c>
      <c r="J55" s="65">
        <f t="shared" si="98"/>
        <v>10.948893458014066</v>
      </c>
      <c r="K55" s="65">
        <f t="shared" ref="K55" si="105">B55+P55*C55-I55*E55</f>
        <v>10.697612817156253</v>
      </c>
      <c r="L55" s="65">
        <f t="shared" ref="L55" si="106">+I55/D55</f>
        <v>4.1621771923117024</v>
      </c>
      <c r="M55" s="65">
        <f t="shared" si="69"/>
        <v>3</v>
      </c>
      <c r="N55" s="94">
        <f t="shared" ref="N55" si="107">+(VLOOKUP(L55,TCrv,2))</f>
        <v>0.28134652493198486</v>
      </c>
      <c r="O55" s="65">
        <f t="shared" ref="O55" si="108">+(VLOOKUP(L55,TCrv,3))</f>
        <v>6.4926121138150161E-2</v>
      </c>
      <c r="P55" s="94">
        <f t="shared" ref="P55" si="109">+N55+O55*(L55-M55)</f>
        <v>0.35680218210400971</v>
      </c>
    </row>
    <row r="56" spans="1:16" x14ac:dyDescent="0.35">
      <c r="A56" s="123" t="s">
        <v>497</v>
      </c>
      <c r="B56" s="65">
        <f>+B$5</f>
        <v>10.716370855260029</v>
      </c>
      <c r="C56" s="65">
        <f>+C43</f>
        <v>0.53442415823563039</v>
      </c>
      <c r="D56" s="65">
        <f>+D43</f>
        <v>2.4025887265135699</v>
      </c>
      <c r="E56" s="134">
        <f>+main!$C$121</f>
        <v>1.3293650793650715E-3</v>
      </c>
      <c r="F56" s="65"/>
      <c r="G56" s="2"/>
      <c r="H56" s="2"/>
      <c r="I56" s="65">
        <f>+I39</f>
        <v>0</v>
      </c>
      <c r="J56" s="65">
        <f t="shared" ref="J56:J60" si="110">+K56*1.05-0.2836</f>
        <v>10.968589398023031</v>
      </c>
      <c r="K56" s="65">
        <f t="shared" si="12"/>
        <v>10.716370855260029</v>
      </c>
      <c r="L56" s="65">
        <f t="shared" ref="L56:L60" si="111">+I56/D56</f>
        <v>0</v>
      </c>
      <c r="M56" s="65">
        <f t="shared" ref="M56:M67" si="112">+(VLOOKUP(L56,TcrvPD,1))</f>
        <v>0</v>
      </c>
      <c r="N56" s="94">
        <f t="shared" ref="N56:N61" si="113">+(VLOOKUP(L56,TcrvPD,2))</f>
        <v>0</v>
      </c>
      <c r="O56" s="65">
        <f t="shared" ref="O56:O61" si="114">+(VLOOKUP(L56,TcrvPD,3))</f>
        <v>6.7471233884625531E-2</v>
      </c>
      <c r="P56" s="94">
        <f t="shared" ref="P56:P60" si="115">+N56+O56*(L56-M56)</f>
        <v>0</v>
      </c>
    </row>
    <row r="57" spans="1:16" x14ac:dyDescent="0.35">
      <c r="A57" s="123" t="s">
        <v>497</v>
      </c>
      <c r="B57" s="65">
        <f>+B56</f>
        <v>10.716370855260029</v>
      </c>
      <c r="C57" s="65">
        <f>+C43</f>
        <v>0.53442415823563039</v>
      </c>
      <c r="D57" s="65">
        <f>+D43</f>
        <v>2.4025887265135699</v>
      </c>
      <c r="E57" s="134">
        <f>+main!$C$121</f>
        <v>1.3293650793650715E-3</v>
      </c>
      <c r="F57" s="65"/>
      <c r="G57" s="2"/>
      <c r="H57" s="2"/>
      <c r="I57" s="65">
        <f>+I40</f>
        <v>2</v>
      </c>
      <c r="J57" s="65">
        <f t="shared" ref="J57" si="116">+K57*1.05-0.2836</f>
        <v>11.007554489971598</v>
      </c>
      <c r="K57" s="65">
        <f t="shared" si="12"/>
        <v>10.753480466639617</v>
      </c>
      <c r="L57" s="65">
        <f t="shared" ref="L57" si="117">+I57/D57</f>
        <v>0.83243543846234058</v>
      </c>
      <c r="M57" s="65">
        <f t="shared" si="112"/>
        <v>0.5</v>
      </c>
      <c r="N57" s="94">
        <f t="shared" si="113"/>
        <v>3.3735616942312766E-2</v>
      </c>
      <c r="O57" s="65">
        <f t="shared" si="114"/>
        <v>0.12236308518059147</v>
      </c>
      <c r="P57" s="94">
        <f t="shared" ref="P57" si="118">+N57+O57*(L57-M57)</f>
        <v>7.4413442815927419E-2</v>
      </c>
    </row>
    <row r="58" spans="1:16" x14ac:dyDescent="0.35">
      <c r="A58" s="123" t="s">
        <v>497</v>
      </c>
      <c r="B58" s="65">
        <f>+B56</f>
        <v>10.716370855260029</v>
      </c>
      <c r="C58" s="65">
        <f>+C56</f>
        <v>0.53442415823563039</v>
      </c>
      <c r="D58" s="65">
        <f>+D56</f>
        <v>2.4025887265135699</v>
      </c>
      <c r="E58" s="134">
        <f>+main!$C$121</f>
        <v>1.3293650793650715E-3</v>
      </c>
      <c r="F58" s="65"/>
      <c r="G58" s="2"/>
      <c r="H58" s="2"/>
      <c r="I58" s="65">
        <f>+I41</f>
        <v>4.45</v>
      </c>
      <c r="J58" s="65">
        <f t="shared" si="110"/>
        <v>11.074153141254907</v>
      </c>
      <c r="K58" s="65">
        <f t="shared" si="12"/>
        <v>10.816907753576102</v>
      </c>
      <c r="L58" s="65">
        <f t="shared" si="111"/>
        <v>1.8521688505787077</v>
      </c>
      <c r="M58" s="65">
        <f t="shared" si="112"/>
        <v>0.5</v>
      </c>
      <c r="N58" s="94">
        <f t="shared" si="113"/>
        <v>3.3735616942312766E-2</v>
      </c>
      <c r="O58" s="65">
        <f t="shared" si="114"/>
        <v>0.12236308518059147</v>
      </c>
      <c r="P58" s="94">
        <f t="shared" si="115"/>
        <v>0.19919116918421764</v>
      </c>
    </row>
    <row r="59" spans="1:16" x14ac:dyDescent="0.35">
      <c r="A59" s="123" t="str">
        <f>+A58</f>
        <v>3 dry in</v>
      </c>
      <c r="B59" s="65">
        <f t="shared" ref="B59:B61" si="119">+B58</f>
        <v>10.716370855260029</v>
      </c>
      <c r="C59" s="65">
        <f t="shared" ref="C59:C67" si="120">+C58</f>
        <v>0.53442415823563039</v>
      </c>
      <c r="D59" s="65">
        <f t="shared" si="77"/>
        <v>2.4025887265135699</v>
      </c>
      <c r="E59" s="134">
        <f>+main!$C$121</f>
        <v>1.3293650793650715E-3</v>
      </c>
      <c r="F59" s="65"/>
      <c r="G59" s="2"/>
      <c r="H59" s="2"/>
      <c r="I59" s="65">
        <f>+I42</f>
        <v>5.35</v>
      </c>
      <c r="J59" s="65">
        <f t="shared" si="110"/>
        <v>11.098617951930409</v>
      </c>
      <c r="K59" s="65">
        <f t="shared" si="12"/>
        <v>10.840207573267056</v>
      </c>
      <c r="L59" s="65">
        <f t="shared" si="111"/>
        <v>2.2267647978867608</v>
      </c>
      <c r="M59" s="65">
        <f t="shared" si="112"/>
        <v>0.5</v>
      </c>
      <c r="N59" s="94">
        <f t="shared" si="113"/>
        <v>3.3735616942312766E-2</v>
      </c>
      <c r="O59" s="65">
        <f t="shared" si="114"/>
        <v>0.12236308518059147</v>
      </c>
      <c r="P59" s="94">
        <f t="shared" si="115"/>
        <v>0.24502788499297729</v>
      </c>
    </row>
    <row r="60" spans="1:16" x14ac:dyDescent="0.35">
      <c r="A60" s="123" t="str">
        <f>+A59</f>
        <v>3 dry in</v>
      </c>
      <c r="B60" s="65">
        <f t="shared" si="119"/>
        <v>10.716370855260029</v>
      </c>
      <c r="C60" s="65">
        <f t="shared" si="120"/>
        <v>0.53442415823563039</v>
      </c>
      <c r="D60" s="65">
        <f t="shared" si="77"/>
        <v>2.4025887265135699</v>
      </c>
      <c r="E60" s="134">
        <f>+main!$C$121</f>
        <v>1.3293650793650715E-3</v>
      </c>
      <c r="F60" s="65"/>
      <c r="G60" s="2"/>
      <c r="H60" s="2"/>
      <c r="I60" s="65">
        <f>+I43</f>
        <v>8.0500000000000007</v>
      </c>
      <c r="J60" s="65">
        <f t="shared" si="110"/>
        <v>11.165151262569902</v>
      </c>
      <c r="K60" s="65">
        <f t="shared" si="12"/>
        <v>10.903572631018953</v>
      </c>
      <c r="L60" s="65">
        <f t="shared" si="111"/>
        <v>3.3505526398109211</v>
      </c>
      <c r="M60" s="65">
        <f t="shared" si="112"/>
        <v>3</v>
      </c>
      <c r="N60" s="94">
        <f t="shared" si="113"/>
        <v>0.33964332989379142</v>
      </c>
      <c r="O60" s="65">
        <f t="shared" si="114"/>
        <v>8.7483888002945973E-2</v>
      </c>
      <c r="P60" s="94">
        <f t="shared" si="115"/>
        <v>0.37031103777414709</v>
      </c>
    </row>
    <row r="61" spans="1:16" x14ac:dyDescent="0.35">
      <c r="A61" s="123" t="str">
        <f>+A60</f>
        <v>3 dry in</v>
      </c>
      <c r="B61" s="65">
        <f t="shared" si="119"/>
        <v>10.716370855260029</v>
      </c>
      <c r="C61" s="65">
        <f t="shared" si="120"/>
        <v>0.53442415823563039</v>
      </c>
      <c r="D61" s="65">
        <f t="shared" si="77"/>
        <v>2.4025887265135699</v>
      </c>
      <c r="E61" s="134">
        <f>+main!$C$121</f>
        <v>1.3293650793650715E-3</v>
      </c>
      <c r="F61" s="65"/>
      <c r="G61" s="2"/>
      <c r="H61" s="2"/>
      <c r="I61" s="65">
        <v>10</v>
      </c>
      <c r="J61" s="65">
        <f t="shared" ref="J61" si="121">+K61*1.05-0.2836</f>
        <v>11.202272993242463</v>
      </c>
      <c r="K61" s="65">
        <f t="shared" si="12"/>
        <v>10.938926660230917</v>
      </c>
      <c r="L61" s="65">
        <f t="shared" ref="L61" si="122">+I61/D61</f>
        <v>4.1621771923117024</v>
      </c>
      <c r="M61" s="65">
        <f t="shared" si="112"/>
        <v>3</v>
      </c>
      <c r="N61" s="94">
        <f t="shared" si="113"/>
        <v>0.33964332989379142</v>
      </c>
      <c r="O61" s="65">
        <f t="shared" si="114"/>
        <v>8.7483888002945973E-2</v>
      </c>
      <c r="P61" s="94">
        <f t="shared" ref="P61" si="123">+N61+O61*(L61-M61)</f>
        <v>0.4413151092255666</v>
      </c>
    </row>
    <row r="62" spans="1:16" x14ac:dyDescent="0.35">
      <c r="A62" s="123" t="s">
        <v>847</v>
      </c>
      <c r="B62" s="65">
        <f>+$B$5+gas!$C$37</f>
        <v>10.799225297604075</v>
      </c>
      <c r="C62" s="65">
        <f t="shared" si="120"/>
        <v>0.53442415823563039</v>
      </c>
      <c r="D62" s="65">
        <f t="shared" si="77"/>
        <v>2.4025887265135699</v>
      </c>
      <c r="E62" s="134"/>
      <c r="F62" s="65"/>
      <c r="G62" s="2"/>
      <c r="H62" s="2"/>
      <c r="I62" s="65">
        <v>0</v>
      </c>
      <c r="J62" s="65">
        <f t="shared" ref="J62" si="124">+K62*1.05-0.2836</f>
        <v>11.05558656248428</v>
      </c>
      <c r="K62" s="65">
        <f t="shared" ref="K62" si="125">B62+P62*C62-I62*E62</f>
        <v>10.799225297604075</v>
      </c>
      <c r="L62" s="65">
        <f t="shared" ref="L62" si="126">+I62/D62</f>
        <v>0</v>
      </c>
      <c r="M62" s="65">
        <f t="shared" si="112"/>
        <v>0</v>
      </c>
      <c r="N62" s="94">
        <f t="shared" ref="N62" si="127">+(VLOOKUP(L62,TcrvPD,2))</f>
        <v>0</v>
      </c>
      <c r="O62" s="65">
        <f t="shared" ref="O62" si="128">+(VLOOKUP(L62,TcrvPD,3))</f>
        <v>6.7471233884625531E-2</v>
      </c>
      <c r="P62" s="94">
        <f t="shared" ref="P62" si="129">+N62+O62*(L62-M62)</f>
        <v>0</v>
      </c>
    </row>
    <row r="63" spans="1:16" x14ac:dyDescent="0.35">
      <c r="A63" s="123" t="str">
        <f>+A62</f>
        <v>3 dry in no humidity</v>
      </c>
      <c r="B63" s="65">
        <f>+$B$5+gas!$C$37</f>
        <v>10.799225297604075</v>
      </c>
      <c r="C63" s="65">
        <f t="shared" si="120"/>
        <v>0.53442415823563039</v>
      </c>
      <c r="D63" s="65">
        <f t="shared" si="77"/>
        <v>2.4025887265135699</v>
      </c>
      <c r="E63" s="134"/>
      <c r="F63" s="65"/>
      <c r="G63" s="2"/>
      <c r="H63" s="2"/>
      <c r="I63" s="65">
        <v>2</v>
      </c>
      <c r="J63" s="65">
        <f t="shared" ref="J63:J67" si="130">+K63*1.05-0.2836</f>
        <v>11.097343321099514</v>
      </c>
      <c r="K63" s="65">
        <f t="shared" ref="K63:K67" si="131">B63+P63*C63-I63*E63</f>
        <v>10.838993639142393</v>
      </c>
      <c r="L63" s="65">
        <f t="shared" ref="L63:L67" si="132">+I63/D63</f>
        <v>0.83243543846234058</v>
      </c>
      <c r="M63" s="65">
        <f t="shared" si="112"/>
        <v>0.5</v>
      </c>
      <c r="N63" s="94">
        <f t="shared" ref="N63:N67" si="133">+(VLOOKUP(L63,TcrvPD,2))</f>
        <v>3.3735616942312766E-2</v>
      </c>
      <c r="O63" s="65">
        <f t="shared" ref="O63:O67" si="134">+(VLOOKUP(L63,TcrvPD,3))</f>
        <v>0.12236308518059147</v>
      </c>
      <c r="P63" s="94">
        <f t="shared" ref="P63:P67" si="135">+N63+O63*(L63-M63)</f>
        <v>7.4413442815927419E-2</v>
      </c>
    </row>
    <row r="64" spans="1:16" x14ac:dyDescent="0.35">
      <c r="A64" s="123" t="str">
        <f t="shared" ref="A64:A67" si="136">+A63</f>
        <v>3 dry in no humidity</v>
      </c>
      <c r="B64" s="65">
        <f>+$B$5+gas!$C$37</f>
        <v>10.799225297604075</v>
      </c>
      <c r="C64" s="65">
        <f t="shared" si="120"/>
        <v>0.53442415823563039</v>
      </c>
      <c r="D64" s="65">
        <f t="shared" si="77"/>
        <v>2.4025887265135699</v>
      </c>
      <c r="E64" s="134"/>
      <c r="F64" s="65"/>
      <c r="G64" s="2"/>
      <c r="H64" s="2"/>
      <c r="I64" s="65">
        <v>4</v>
      </c>
      <c r="J64" s="65">
        <f t="shared" si="130"/>
        <v>11.154501233711736</v>
      </c>
      <c r="K64" s="65">
        <f t="shared" si="131"/>
        <v>10.89342974639213</v>
      </c>
      <c r="L64" s="65">
        <f t="shared" si="132"/>
        <v>1.6648708769246812</v>
      </c>
      <c r="M64" s="65">
        <f t="shared" si="112"/>
        <v>0.5</v>
      </c>
      <c r="N64" s="94">
        <f t="shared" si="133"/>
        <v>3.3735616942312766E-2</v>
      </c>
      <c r="O64" s="65">
        <f t="shared" si="134"/>
        <v>0.12236308518059147</v>
      </c>
      <c r="P64" s="94">
        <f t="shared" si="135"/>
        <v>0.17627281127983779</v>
      </c>
    </row>
    <row r="65" spans="1:16" x14ac:dyDescent="0.35">
      <c r="A65" s="123" t="str">
        <f t="shared" si="136"/>
        <v>3 dry in no humidity</v>
      </c>
      <c r="B65" s="65">
        <f>+$B$5+gas!$C$37</f>
        <v>10.799225297604075</v>
      </c>
      <c r="C65" s="65">
        <f t="shared" si="120"/>
        <v>0.53442415823563039</v>
      </c>
      <c r="D65" s="65">
        <f t="shared" si="77"/>
        <v>2.4025887265135699</v>
      </c>
      <c r="E65" s="134"/>
      <c r="F65" s="65"/>
      <c r="G65" s="2"/>
      <c r="H65" s="2"/>
      <c r="I65" s="65">
        <v>6</v>
      </c>
      <c r="J65" s="65">
        <f t="shared" si="130"/>
        <v>11.211659146323962</v>
      </c>
      <c r="K65" s="65">
        <f t="shared" si="131"/>
        <v>10.947865853641868</v>
      </c>
      <c r="L65" s="65">
        <f t="shared" si="132"/>
        <v>2.4973063153870219</v>
      </c>
      <c r="M65" s="65">
        <f t="shared" si="112"/>
        <v>0.5</v>
      </c>
      <c r="N65" s="94">
        <f t="shared" si="133"/>
        <v>3.3735616942312766E-2</v>
      </c>
      <c r="O65" s="65">
        <f t="shared" si="134"/>
        <v>0.12236308518059147</v>
      </c>
      <c r="P65" s="94">
        <f t="shared" si="135"/>
        <v>0.27813217974374821</v>
      </c>
    </row>
    <row r="66" spans="1:16" x14ac:dyDescent="0.35">
      <c r="A66" s="123" t="str">
        <f t="shared" si="136"/>
        <v>3 dry in no humidity</v>
      </c>
      <c r="B66" s="65">
        <f>+$B$5+gas!$C$37</f>
        <v>10.799225297604075</v>
      </c>
      <c r="C66" s="65">
        <f t="shared" si="120"/>
        <v>0.53442415823563039</v>
      </c>
      <c r="D66" s="65">
        <f t="shared" si="77"/>
        <v>2.4025887265135699</v>
      </c>
      <c r="E66" s="134"/>
      <c r="F66" s="65"/>
      <c r="G66" s="2"/>
      <c r="H66" s="2"/>
      <c r="I66" s="65">
        <v>8</v>
      </c>
      <c r="J66" s="65">
        <f t="shared" si="130"/>
        <v>11.262363254449799</v>
      </c>
      <c r="K66" s="65">
        <f t="shared" si="131"/>
        <v>10.99615548042838</v>
      </c>
      <c r="L66" s="65">
        <f t="shared" si="132"/>
        <v>3.3297417538493623</v>
      </c>
      <c r="M66" s="65">
        <f t="shared" si="112"/>
        <v>3</v>
      </c>
      <c r="N66" s="94">
        <f t="shared" si="133"/>
        <v>0.33964332989379142</v>
      </c>
      <c r="O66" s="65">
        <f t="shared" si="134"/>
        <v>8.7483888002945973E-2</v>
      </c>
      <c r="P66" s="94">
        <f t="shared" si="135"/>
        <v>0.36849042055744402</v>
      </c>
    </row>
    <row r="67" spans="1:16" x14ac:dyDescent="0.35">
      <c r="A67" s="123" t="str">
        <f t="shared" si="136"/>
        <v>3 dry in no humidity</v>
      </c>
      <c r="B67" s="65">
        <f>+$B$5+gas!$C$37</f>
        <v>10.799225297604075</v>
      </c>
      <c r="C67" s="65">
        <f t="shared" si="120"/>
        <v>0.53442415823563039</v>
      </c>
      <c r="D67" s="65">
        <f t="shared" si="77"/>
        <v>2.4025887265135699</v>
      </c>
      <c r="E67" s="134"/>
      <c r="F67" s="65"/>
      <c r="G67" s="2"/>
      <c r="H67" s="2"/>
      <c r="I67" s="65">
        <v>10</v>
      </c>
      <c r="J67" s="65">
        <f t="shared" si="130"/>
        <v>11.303228491037045</v>
      </c>
      <c r="K67" s="65">
        <f t="shared" si="131"/>
        <v>11.035074753368614</v>
      </c>
      <c r="L67" s="65">
        <f t="shared" si="132"/>
        <v>4.1621771923117024</v>
      </c>
      <c r="M67" s="65">
        <f t="shared" si="112"/>
        <v>3</v>
      </c>
      <c r="N67" s="94">
        <f t="shared" si="133"/>
        <v>0.33964332989379142</v>
      </c>
      <c r="O67" s="65">
        <f t="shared" si="134"/>
        <v>8.7483888002945973E-2</v>
      </c>
      <c r="P67" s="94">
        <f t="shared" si="135"/>
        <v>0.4413151092255666</v>
      </c>
    </row>
    <row r="68" spans="1:16" x14ac:dyDescent="0.35">
      <c r="A68" s="2"/>
      <c r="B68" s="65"/>
      <c r="C68" s="65"/>
      <c r="D68" s="65"/>
      <c r="E68" s="65"/>
      <c r="F68" s="65"/>
      <c r="G68" s="2"/>
      <c r="H68" s="2"/>
      <c r="I68" s="65"/>
      <c r="J68" s="65"/>
      <c r="K68" s="65">
        <f t="shared" si="12"/>
        <v>0</v>
      </c>
      <c r="L68" s="65"/>
      <c r="M68" s="65"/>
      <c r="N68" s="94"/>
      <c r="O68" s="65"/>
      <c r="P68" s="94"/>
    </row>
    <row r="69" spans="1:16" x14ac:dyDescent="0.35">
      <c r="A69" s="2" t="s">
        <v>468</v>
      </c>
      <c r="B69" s="65">
        <f>+B43</f>
        <v>10.666370855260029</v>
      </c>
      <c r="C69" s="65">
        <f>+C4</f>
        <v>1.5194423482757151</v>
      </c>
      <c r="D69" s="65">
        <v>1</v>
      </c>
      <c r="E69" s="65"/>
      <c r="F69" s="2"/>
      <c r="G69" s="2"/>
      <c r="H69" s="2"/>
      <c r="I69" s="65">
        <f>+main!$C$160</f>
        <v>3.65</v>
      </c>
      <c r="J69" s="65">
        <f>+K69*1.05-0.2836</f>
        <v>11.432283361133184</v>
      </c>
      <c r="K69" s="65">
        <f t="shared" si="12"/>
        <v>11.157984153460175</v>
      </c>
      <c r="L69" s="65">
        <f>+I69/D69</f>
        <v>3.65</v>
      </c>
      <c r="M69" s="65">
        <f t="shared" ref="M69:M75" si="137">+(VLOOKUP(L69,TCrv,1))</f>
        <v>3</v>
      </c>
      <c r="N69" s="94">
        <f>+(VLOOKUP(L69,TCrv,2))</f>
        <v>0.28134652493198486</v>
      </c>
      <c r="O69" s="65">
        <f>+(VLOOKUP(L69,TCrv,3))</f>
        <v>6.4926121138150161E-2</v>
      </c>
      <c r="P69" s="94">
        <f>+N69+O69*(L69-M69)</f>
        <v>0.32354850367178245</v>
      </c>
    </row>
    <row r="70" spans="1:16" x14ac:dyDescent="0.35">
      <c r="A70" s="2" t="s">
        <v>472</v>
      </c>
      <c r="B70" s="65">
        <f>+K69</f>
        <v>11.157984153460175</v>
      </c>
      <c r="C70" s="65">
        <f>+main!$C$197</f>
        <v>-9.6545165019181908E-2</v>
      </c>
      <c r="D70" s="65">
        <v>1</v>
      </c>
      <c r="E70" s="65"/>
      <c r="F70" s="65"/>
      <c r="G70" s="65"/>
      <c r="H70" s="2"/>
      <c r="I70" s="65">
        <f>+I69</f>
        <v>3.65</v>
      </c>
      <c r="J70" s="65">
        <f t="shared" ref="J70:J76" si="138">+K70*1.05-0.2836</f>
        <v>11.399959811587397</v>
      </c>
      <c r="K70" s="65">
        <f t="shared" si="12"/>
        <v>11.127199820559426</v>
      </c>
      <c r="L70" s="65">
        <f t="shared" ref="L70" si="139">+I70/D70</f>
        <v>3.65</v>
      </c>
      <c r="M70" s="65">
        <f t="shared" si="137"/>
        <v>3</v>
      </c>
      <c r="N70" s="94">
        <f t="shared" ref="N70:N75" si="140">+(VLOOKUP(M70,TCrv,2))</f>
        <v>0.28134652493198486</v>
      </c>
      <c r="O70" s="65">
        <f t="shared" ref="O70:O75" si="141">+(VLOOKUP(N70,TCrv,3))</f>
        <v>5.7712107678357119E-2</v>
      </c>
      <c r="P70" s="94">
        <f t="shared" ref="P70" si="142">+N70+O70*(L70-M70)</f>
        <v>0.31885939492291698</v>
      </c>
    </row>
    <row r="71" spans="1:16" x14ac:dyDescent="0.35">
      <c r="A71" s="2" t="s">
        <v>472</v>
      </c>
      <c r="B71" s="65">
        <f>+K69</f>
        <v>11.157984153460175</v>
      </c>
      <c r="C71" s="65">
        <f>+main!$C$197</f>
        <v>-9.6545165019181908E-2</v>
      </c>
      <c r="D71" s="65">
        <f>+D70</f>
        <v>1</v>
      </c>
      <c r="E71" s="65"/>
      <c r="F71" s="65">
        <f t="shared" si="78"/>
        <v>0.10735320867183162</v>
      </c>
      <c r="G71" s="65">
        <v>11.5</v>
      </c>
      <c r="H71" s="2">
        <v>3</v>
      </c>
      <c r="I71" s="65">
        <f>+main!$C$80+(H71-1)*main!$C$83</f>
        <v>4.9000000000000004</v>
      </c>
      <c r="J71" s="65">
        <f t="shared" si="138"/>
        <v>11.392646791328168</v>
      </c>
      <c r="K71" s="65">
        <f t="shared" si="12"/>
        <v>11.120235039360161</v>
      </c>
      <c r="L71" s="65">
        <f t="shared" ref="L71:L75" si="143">+I71/D71</f>
        <v>4.9000000000000004</v>
      </c>
      <c r="M71" s="65">
        <f t="shared" si="137"/>
        <v>3</v>
      </c>
      <c r="N71" s="94">
        <f t="shared" si="140"/>
        <v>0.28134652493198486</v>
      </c>
      <c r="O71" s="65">
        <f t="shared" si="141"/>
        <v>5.7712107678357119E-2</v>
      </c>
      <c r="P71" s="94">
        <f t="shared" ref="P71:P75" si="144">+N71+O71*(L71-M71)</f>
        <v>0.39099952952086342</v>
      </c>
    </row>
    <row r="72" spans="1:16" x14ac:dyDescent="0.35">
      <c r="A72" s="2" t="str">
        <f>+A71</f>
        <v>5 (wet) out then in</v>
      </c>
      <c r="B72" s="65">
        <f t="shared" ref="B72:B75" si="145">+B71</f>
        <v>11.157984153460175</v>
      </c>
      <c r="C72" s="65">
        <f>+main!$C$197</f>
        <v>-9.6545165019181908E-2</v>
      </c>
      <c r="D72" s="65">
        <f t="shared" ref="D72:D75" si="146">+D71</f>
        <v>1</v>
      </c>
      <c r="E72" s="65"/>
      <c r="F72" s="65">
        <f t="shared" si="78"/>
        <v>6.2618583258473137E-2</v>
      </c>
      <c r="G72" s="65">
        <v>11.45</v>
      </c>
      <c r="H72" s="2">
        <v>5</v>
      </c>
      <c r="I72" s="65">
        <f>+main!$C$80+(H72-1)*main!$C$83</f>
        <v>5.8</v>
      </c>
      <c r="J72" s="65">
        <f t="shared" si="138"/>
        <v>11.387381416741526</v>
      </c>
      <c r="K72" s="65">
        <f t="shared" si="12"/>
        <v>11.115220396896691</v>
      </c>
      <c r="L72" s="65">
        <f t="shared" si="143"/>
        <v>5.8</v>
      </c>
      <c r="M72" s="65">
        <f t="shared" si="137"/>
        <v>3</v>
      </c>
      <c r="N72" s="94">
        <f t="shared" si="140"/>
        <v>0.28134652493198486</v>
      </c>
      <c r="O72" s="65">
        <f t="shared" si="141"/>
        <v>5.7712107678357119E-2</v>
      </c>
      <c r="P72" s="94">
        <f t="shared" si="144"/>
        <v>0.44294042643138476</v>
      </c>
    </row>
    <row r="73" spans="1:16" x14ac:dyDescent="0.35">
      <c r="A73" s="2" t="str">
        <f t="shared" ref="A73:A75" si="147">+A72</f>
        <v>5 (wet) out then in</v>
      </c>
      <c r="B73" s="65">
        <f t="shared" si="145"/>
        <v>11.157984153460175</v>
      </c>
      <c r="C73" s="65">
        <f>+main!$C$197</f>
        <v>-9.6545165019181908E-2</v>
      </c>
      <c r="D73" s="65">
        <f t="shared" si="146"/>
        <v>1</v>
      </c>
      <c r="E73" s="65"/>
      <c r="F73" s="65">
        <f t="shared" si="78"/>
        <v>0.17271055121621082</v>
      </c>
      <c r="G73" s="65">
        <v>11.55</v>
      </c>
      <c r="H73" s="2">
        <v>8</v>
      </c>
      <c r="I73" s="65">
        <f>+main!$C$80+(H73-1)*main!$C$83</f>
        <v>7.15</v>
      </c>
      <c r="J73" s="65">
        <f t="shared" si="138"/>
        <v>11.37728944878379</v>
      </c>
      <c r="K73" s="65">
        <f t="shared" si="12"/>
        <v>11.105608998841705</v>
      </c>
      <c r="L73" s="65">
        <f t="shared" si="143"/>
        <v>7.15</v>
      </c>
      <c r="M73" s="65">
        <f t="shared" si="137"/>
        <v>6</v>
      </c>
      <c r="N73" s="94">
        <f t="shared" si="140"/>
        <v>0.47612488834643535</v>
      </c>
      <c r="O73" s="65">
        <f t="shared" si="141"/>
        <v>5.7712107678357119E-2</v>
      </c>
      <c r="P73" s="94">
        <f t="shared" si="144"/>
        <v>0.54249381217654602</v>
      </c>
    </row>
    <row r="74" spans="1:16" x14ac:dyDescent="0.35">
      <c r="A74" s="2" t="str">
        <f t="shared" si="147"/>
        <v>5 (wet) out then in</v>
      </c>
      <c r="B74" s="65">
        <f t="shared" si="145"/>
        <v>11.157984153460175</v>
      </c>
      <c r="C74" s="65">
        <f>+main!$C$197</f>
        <v>-9.6545165019181908E-2</v>
      </c>
      <c r="D74" s="65">
        <f t="shared" si="146"/>
        <v>1</v>
      </c>
      <c r="E74" s="65"/>
      <c r="F74" s="65">
        <f t="shared" si="78"/>
        <v>-2.4656761490469137E-2</v>
      </c>
      <c r="G74" s="65">
        <v>11.35</v>
      </c>
      <c r="H74" s="2">
        <v>9</v>
      </c>
      <c r="I74" s="65">
        <f>+main!$C$80+(H74-1)*main!$C$83</f>
        <v>7.6</v>
      </c>
      <c r="J74" s="65">
        <f t="shared" si="138"/>
        <v>11.374656761490469</v>
      </c>
      <c r="K74" s="65">
        <f t="shared" si="12"/>
        <v>11.10310167760997</v>
      </c>
      <c r="L74" s="65">
        <f t="shared" si="143"/>
        <v>7.6</v>
      </c>
      <c r="M74" s="65">
        <f t="shared" si="137"/>
        <v>6</v>
      </c>
      <c r="N74" s="94">
        <f t="shared" si="140"/>
        <v>0.47612488834643535</v>
      </c>
      <c r="O74" s="65">
        <f t="shared" si="141"/>
        <v>5.7712107678357119E-2</v>
      </c>
      <c r="P74" s="94">
        <f t="shared" si="144"/>
        <v>0.56846426063180666</v>
      </c>
    </row>
    <row r="75" spans="1:16" x14ac:dyDescent="0.35">
      <c r="A75" s="2" t="str">
        <f t="shared" si="147"/>
        <v>5 (wet) out then in</v>
      </c>
      <c r="B75" s="65">
        <f t="shared" si="145"/>
        <v>11.157984153460175</v>
      </c>
      <c r="C75" s="65">
        <f>+main!$C$197</f>
        <v>-9.6545165019181908E-2</v>
      </c>
      <c r="D75" s="65">
        <f t="shared" si="146"/>
        <v>1</v>
      </c>
      <c r="E75" s="65"/>
      <c r="F75" s="65">
        <f t="shared" si="78"/>
        <v>-1.9391386903825136E-2</v>
      </c>
      <c r="G75" s="65">
        <v>11.35</v>
      </c>
      <c r="H75" s="2">
        <v>11</v>
      </c>
      <c r="I75" s="65">
        <f>+main!$C$80+(H75-1)*main!$C$83</f>
        <v>8.5</v>
      </c>
      <c r="J75" s="65">
        <f t="shared" si="138"/>
        <v>11.369391386903825</v>
      </c>
      <c r="K75" s="65">
        <f t="shared" si="12"/>
        <v>11.098087035146499</v>
      </c>
      <c r="L75" s="65">
        <f t="shared" si="143"/>
        <v>8.5</v>
      </c>
      <c r="M75" s="65">
        <f t="shared" si="137"/>
        <v>6</v>
      </c>
      <c r="N75" s="94">
        <f t="shared" si="140"/>
        <v>0.47612488834643535</v>
      </c>
      <c r="O75" s="65">
        <f t="shared" si="141"/>
        <v>5.7712107678357119E-2</v>
      </c>
      <c r="P75" s="94">
        <f t="shared" si="144"/>
        <v>0.62040515754232817</v>
      </c>
    </row>
    <row r="76" spans="1:16" x14ac:dyDescent="0.35">
      <c r="A76" s="2" t="s">
        <v>479</v>
      </c>
      <c r="B76" s="65">
        <f>+B5</f>
        <v>10.716370855260029</v>
      </c>
      <c r="C76" s="65">
        <f>+C5</f>
        <v>1.4694423482757148</v>
      </c>
      <c r="D76" s="65">
        <v>1</v>
      </c>
      <c r="E76" s="65"/>
      <c r="F76" s="2"/>
      <c r="G76" s="2"/>
      <c r="H76" s="2"/>
      <c r="I76" s="65">
        <f>+main!$C$160</f>
        <v>3.65</v>
      </c>
      <c r="J76" s="65">
        <f t="shared" si="138"/>
        <v>11.580367106495542</v>
      </c>
      <c r="K76" s="65">
        <f t="shared" si="12"/>
        <v>11.299016291900516</v>
      </c>
      <c r="L76" s="65">
        <f t="shared" ref="L76:L77" si="148">+I76/D76</f>
        <v>3.65</v>
      </c>
      <c r="M76" s="65">
        <f t="shared" ref="M76:M82" si="149">+(VLOOKUP(L76,TcrvPD,1))</f>
        <v>3</v>
      </c>
      <c r="N76" s="94">
        <f t="shared" ref="N76:N82" si="150">+(VLOOKUP(L76,TcrvPD,2))</f>
        <v>0.33964332989379142</v>
      </c>
      <c r="O76" s="65">
        <f t="shared" ref="O76:O82" si="151">+(VLOOKUP(L76,TcrvPD,3))</f>
        <v>8.7483888002945973E-2</v>
      </c>
      <c r="P76" s="94">
        <f t="shared" ref="P76:P77" si="152">+N76+O76*(L76-M76)</f>
        <v>0.3965078570957063</v>
      </c>
    </row>
    <row r="77" spans="1:16" x14ac:dyDescent="0.35">
      <c r="A77" s="2" t="s">
        <v>477</v>
      </c>
      <c r="B77" s="65">
        <f>+K76</f>
        <v>11.299016291900516</v>
      </c>
      <c r="C77" s="65">
        <f t="shared" ref="C77:C82" si="153">+C70</f>
        <v>-9.6545165019181908E-2</v>
      </c>
      <c r="D77" s="65">
        <f>+$D$70</f>
        <v>1</v>
      </c>
      <c r="E77" s="65"/>
      <c r="F77" s="65"/>
      <c r="G77" s="65"/>
      <c r="H77" s="2"/>
      <c r="I77" s="65">
        <f t="shared" ref="I77:I82" si="154">+I70</f>
        <v>3.65</v>
      </c>
      <c r="J77" s="65">
        <f t="shared" si="11"/>
        <v>11.540172144176099</v>
      </c>
      <c r="K77" s="65">
        <f t="shared" si="12"/>
        <v>11.260735375405808</v>
      </c>
      <c r="L77" s="65">
        <f t="shared" si="148"/>
        <v>3.65</v>
      </c>
      <c r="M77" s="65">
        <f t="shared" si="149"/>
        <v>3</v>
      </c>
      <c r="N77" s="94">
        <f t="shared" si="150"/>
        <v>0.33964332989379142</v>
      </c>
      <c r="O77" s="65">
        <f t="shared" si="151"/>
        <v>8.7483888002945973E-2</v>
      </c>
      <c r="P77" s="94">
        <f t="shared" si="152"/>
        <v>0.3965078570957063</v>
      </c>
    </row>
    <row r="78" spans="1:16" x14ac:dyDescent="0.35">
      <c r="A78" s="2" t="s">
        <v>477</v>
      </c>
      <c r="B78" s="65">
        <f>+K76</f>
        <v>11.299016291900516</v>
      </c>
      <c r="C78" s="65">
        <f t="shared" si="153"/>
        <v>-9.6545165019181908E-2</v>
      </c>
      <c r="D78" s="65">
        <f t="shared" ref="D78:D82" si="155">+$D$70</f>
        <v>1</v>
      </c>
      <c r="E78" s="65"/>
      <c r="F78" s="65"/>
      <c r="G78" s="65"/>
      <c r="H78" s="2"/>
      <c r="I78" s="65">
        <f t="shared" si="154"/>
        <v>4.9000000000000004</v>
      </c>
      <c r="J78" s="65">
        <f t="shared" si="11"/>
        <v>11.529086577021161</v>
      </c>
      <c r="K78" s="65">
        <f t="shared" si="12"/>
        <v>11.250177692401104</v>
      </c>
      <c r="L78" s="65">
        <f t="shared" si="75"/>
        <v>4.9000000000000004</v>
      </c>
      <c r="M78" s="65">
        <f t="shared" si="149"/>
        <v>3</v>
      </c>
      <c r="N78" s="94">
        <f t="shared" si="150"/>
        <v>0.33964332989379142</v>
      </c>
      <c r="O78" s="65">
        <f t="shared" si="151"/>
        <v>8.7483888002945973E-2</v>
      </c>
      <c r="P78" s="94">
        <f t="shared" ref="P78" si="156">+N78+O78*(L78-M78)</f>
        <v>0.50586271709938879</v>
      </c>
    </row>
    <row r="79" spans="1:16" x14ac:dyDescent="0.35">
      <c r="A79" s="2" t="str">
        <f>+A78</f>
        <v>5 (dry) out then in</v>
      </c>
      <c r="B79" s="65">
        <f>+B78</f>
        <v>11.299016291900516</v>
      </c>
      <c r="C79" s="65">
        <f t="shared" si="153"/>
        <v>-9.6545165019181908E-2</v>
      </c>
      <c r="D79" s="65">
        <f t="shared" si="155"/>
        <v>1</v>
      </c>
      <c r="E79" s="65"/>
      <c r="F79" s="65"/>
      <c r="G79" s="65"/>
      <c r="H79" s="2"/>
      <c r="I79" s="65">
        <f t="shared" si="154"/>
        <v>5.8</v>
      </c>
      <c r="J79" s="65">
        <f t="shared" si="11"/>
        <v>11.521104968669603</v>
      </c>
      <c r="K79" s="65">
        <f t="shared" si="12"/>
        <v>11.242576160637716</v>
      </c>
      <c r="L79" s="65">
        <f t="shared" ref="L79:L82" si="157">+I79/D79</f>
        <v>5.8</v>
      </c>
      <c r="M79" s="65">
        <f t="shared" si="149"/>
        <v>3</v>
      </c>
      <c r="N79" s="94">
        <f t="shared" si="150"/>
        <v>0.33964332989379142</v>
      </c>
      <c r="O79" s="65">
        <f t="shared" si="151"/>
        <v>8.7483888002945973E-2</v>
      </c>
      <c r="P79" s="94">
        <f t="shared" ref="P79:P82" si="158">+N79+O79*(L79-M79)</f>
        <v>0.58459821630204012</v>
      </c>
    </row>
    <row r="80" spans="1:16" x14ac:dyDescent="0.35">
      <c r="A80" s="2" t="str">
        <f t="shared" ref="A80:A82" si="159">+A79</f>
        <v>5 (dry) out then in</v>
      </c>
      <c r="B80" s="65">
        <f t="shared" ref="B80:B82" si="160">+B79</f>
        <v>11.299016291900516</v>
      </c>
      <c r="C80" s="65">
        <f t="shared" si="153"/>
        <v>-9.6545165019181908E-2</v>
      </c>
      <c r="D80" s="65">
        <f t="shared" si="155"/>
        <v>1</v>
      </c>
      <c r="E80" s="65"/>
      <c r="F80" s="65"/>
      <c r="G80" s="65"/>
      <c r="H80" s="2"/>
      <c r="I80" s="65">
        <f t="shared" si="154"/>
        <v>7.15</v>
      </c>
      <c r="J80" s="65">
        <f t="shared" si="11"/>
        <v>11.513931954628172</v>
      </c>
      <c r="K80" s="65">
        <f t="shared" si="12"/>
        <v>11.235744718693496</v>
      </c>
      <c r="L80" s="65">
        <f t="shared" si="157"/>
        <v>7.15</v>
      </c>
      <c r="M80" s="65">
        <f t="shared" si="149"/>
        <v>6</v>
      </c>
      <c r="N80" s="94">
        <f t="shared" si="150"/>
        <v>0.60209499390262933</v>
      </c>
      <c r="O80" s="65">
        <f t="shared" si="151"/>
        <v>4.6314999530971367E-2</v>
      </c>
      <c r="P80" s="94">
        <f t="shared" si="158"/>
        <v>0.65535724336324641</v>
      </c>
    </row>
    <row r="81" spans="1:16" x14ac:dyDescent="0.35">
      <c r="A81" s="2" t="str">
        <f t="shared" si="159"/>
        <v>5 (dry) out then in</v>
      </c>
      <c r="B81" s="65">
        <f t="shared" si="160"/>
        <v>11.299016291900516</v>
      </c>
      <c r="C81" s="65">
        <f t="shared" si="153"/>
        <v>-9.6545165019181908E-2</v>
      </c>
      <c r="D81" s="65">
        <f t="shared" si="155"/>
        <v>1</v>
      </c>
      <c r="E81" s="65"/>
      <c r="F81" s="65"/>
      <c r="G81" s="65"/>
      <c r="H81" s="2"/>
      <c r="I81" s="65">
        <f t="shared" si="154"/>
        <v>7.6</v>
      </c>
      <c r="J81" s="65">
        <f t="shared" si="11"/>
        <v>11.511819175946876</v>
      </c>
      <c r="K81" s="65">
        <f t="shared" si="12"/>
        <v>11.233732548520834</v>
      </c>
      <c r="L81" s="65">
        <f t="shared" si="157"/>
        <v>7.6</v>
      </c>
      <c r="M81" s="65">
        <f t="shared" si="149"/>
        <v>6</v>
      </c>
      <c r="N81" s="94">
        <f t="shared" si="150"/>
        <v>0.60209499390262933</v>
      </c>
      <c r="O81" s="65">
        <f t="shared" si="151"/>
        <v>4.6314999530971367E-2</v>
      </c>
      <c r="P81" s="94">
        <f t="shared" si="158"/>
        <v>0.67619899315218346</v>
      </c>
    </row>
    <row r="82" spans="1:16" x14ac:dyDescent="0.35">
      <c r="A82" s="2" t="str">
        <f t="shared" si="159"/>
        <v>5 (dry) out then in</v>
      </c>
      <c r="B82" s="65">
        <f t="shared" si="160"/>
        <v>11.299016291900516</v>
      </c>
      <c r="C82" s="65">
        <f t="shared" si="153"/>
        <v>-9.6545165019181908E-2</v>
      </c>
      <c r="D82" s="65">
        <f t="shared" si="155"/>
        <v>1</v>
      </c>
      <c r="E82" s="65"/>
      <c r="F82" s="65"/>
      <c r="G82" s="65"/>
      <c r="H82" s="2"/>
      <c r="I82" s="65">
        <f t="shared" si="154"/>
        <v>8.5</v>
      </c>
      <c r="J82" s="65">
        <f t="shared" si="11"/>
        <v>11.507593618584288</v>
      </c>
      <c r="K82" s="65">
        <f t="shared" si="12"/>
        <v>11.229708208175511</v>
      </c>
      <c r="L82" s="65">
        <f t="shared" si="157"/>
        <v>8.5</v>
      </c>
      <c r="M82" s="65">
        <f t="shared" si="149"/>
        <v>6</v>
      </c>
      <c r="N82" s="94">
        <f t="shared" si="150"/>
        <v>0.60209499390262933</v>
      </c>
      <c r="O82" s="65">
        <f t="shared" si="151"/>
        <v>4.6314999530971367E-2</v>
      </c>
      <c r="P82" s="94">
        <f t="shared" si="158"/>
        <v>0.71788249273005778</v>
      </c>
    </row>
    <row r="83" spans="1:16" x14ac:dyDescent="0.35">
      <c r="A83" s="2" t="s">
        <v>478</v>
      </c>
      <c r="B83" s="65">
        <f>+$B$4</f>
        <v>10.666370855260029</v>
      </c>
      <c r="C83" s="65">
        <f>+$C$4</f>
        <v>1.5194423482757151</v>
      </c>
      <c r="D83" s="65">
        <v>1</v>
      </c>
      <c r="E83" s="65"/>
      <c r="F83" s="2"/>
      <c r="G83" s="2"/>
      <c r="H83" s="2"/>
      <c r="I83" s="65">
        <v>0</v>
      </c>
      <c r="J83" s="65">
        <f>+K83*1.05-0.2836</f>
        <v>10.916089398023031</v>
      </c>
      <c r="K83" s="65">
        <f t="shared" si="12"/>
        <v>10.666370855260029</v>
      </c>
      <c r="L83" s="65">
        <f>+I83/D83</f>
        <v>0</v>
      </c>
      <c r="M83" s="65">
        <f t="shared" ref="M83:M92" si="161">+(VLOOKUP(L83,TCrv,1))</f>
        <v>0</v>
      </c>
      <c r="N83" s="94">
        <f t="shared" ref="N83:N92" si="162">+(VLOOKUP(L83,TCrv,2))</f>
        <v>0</v>
      </c>
      <c r="O83" s="65">
        <f t="shared" ref="O83:O92" si="163">+(VLOOKUP(L83,TCrv,3))</f>
        <v>5.7712107678357119E-2</v>
      </c>
      <c r="P83" s="94">
        <f>+N83+O83*(L83-M83)</f>
        <v>0</v>
      </c>
    </row>
    <row r="84" spans="1:16" x14ac:dyDescent="0.35">
      <c r="A84" s="2" t="s">
        <v>478</v>
      </c>
      <c r="B84" s="65">
        <f t="shared" ref="B84:B92" si="164">+$B$4</f>
        <v>10.666370855260029</v>
      </c>
      <c r="C84" s="65">
        <f t="shared" ref="C84:C92" si="165">+$C$4</f>
        <v>1.5194423482757151</v>
      </c>
      <c r="D84" s="65">
        <v>1</v>
      </c>
      <c r="E84" s="65"/>
      <c r="F84" s="65"/>
      <c r="G84" s="2"/>
      <c r="H84" s="2"/>
      <c r="I84" s="65">
        <v>2.5</v>
      </c>
      <c r="J84" s="65">
        <f t="shared" ref="J84:J136" si="166">+K84*1.05-0.2836</f>
        <v>11.284388323764947</v>
      </c>
      <c r="K84" s="65">
        <f t="shared" si="12"/>
        <v>11.017131736918996</v>
      </c>
      <c r="L84" s="65">
        <f t="shared" ref="L84" si="167">+I84/D84</f>
        <v>2.5</v>
      </c>
      <c r="M84" s="65">
        <f t="shared" si="161"/>
        <v>0.5</v>
      </c>
      <c r="N84" s="94">
        <f t="shared" si="162"/>
        <v>2.885605383917856E-2</v>
      </c>
      <c r="O84" s="65">
        <f t="shared" si="163"/>
        <v>0.10099618843712252</v>
      </c>
      <c r="P84" s="94">
        <f t="shared" ref="P84" si="168">+N84+O84*(L84-M84)</f>
        <v>0.23084843071342359</v>
      </c>
    </row>
    <row r="85" spans="1:16" x14ac:dyDescent="0.35">
      <c r="A85" s="2" t="s">
        <v>478</v>
      </c>
      <c r="B85" s="65">
        <f t="shared" si="164"/>
        <v>10.666370855260029</v>
      </c>
      <c r="C85" s="65">
        <f t="shared" si="165"/>
        <v>1.5194423482757151</v>
      </c>
      <c r="D85" s="65">
        <v>1</v>
      </c>
      <c r="E85" s="65"/>
      <c r="F85" s="65"/>
      <c r="G85" s="2"/>
      <c r="H85" s="2"/>
      <c r="I85" s="65">
        <f>+main!$C$160</f>
        <v>3.65</v>
      </c>
      <c r="J85" s="65">
        <f t="shared" si="166"/>
        <v>11.432283361133184</v>
      </c>
      <c r="K85" s="65">
        <f t="shared" si="12"/>
        <v>11.157984153460175</v>
      </c>
      <c r="L85" s="65">
        <f t="shared" ref="L85" si="169">+I85/D85</f>
        <v>3.65</v>
      </c>
      <c r="M85" s="65">
        <f t="shared" si="161"/>
        <v>3</v>
      </c>
      <c r="N85" s="94">
        <f t="shared" si="162"/>
        <v>0.28134652493198486</v>
      </c>
      <c r="O85" s="65">
        <f t="shared" si="163"/>
        <v>6.4926121138150161E-2</v>
      </c>
      <c r="P85" s="94">
        <f t="shared" ref="P85" si="170">+N85+O85*(L85-M85)</f>
        <v>0.32354850367178245</v>
      </c>
    </row>
    <row r="86" spans="1:16" x14ac:dyDescent="0.35">
      <c r="A86" s="2" t="s">
        <v>478</v>
      </c>
      <c r="B86" s="65">
        <f t="shared" si="164"/>
        <v>10.666370855260029</v>
      </c>
      <c r="C86" s="65">
        <f t="shared" si="165"/>
        <v>1.5194423482757151</v>
      </c>
      <c r="D86" s="65">
        <v>1</v>
      </c>
      <c r="E86" s="65"/>
      <c r="F86" s="65">
        <f t="shared" ref="F86:F88" si="171">+G86-J86</f>
        <v>0.33146221336409631</v>
      </c>
      <c r="G86" s="2">
        <v>11.8</v>
      </c>
      <c r="H86" s="2">
        <v>1</v>
      </c>
      <c r="I86" s="65">
        <f>+main!$C$80+(H86-1)*main!$C$83</f>
        <v>4</v>
      </c>
      <c r="J86" s="65">
        <f t="shared" si="166"/>
        <v>11.468537786635904</v>
      </c>
      <c r="K86" s="65">
        <f t="shared" si="12"/>
        <v>11.19251217774848</v>
      </c>
      <c r="L86" s="65">
        <f t="shared" ref="L86:L88" si="172">+I86/D86</f>
        <v>4</v>
      </c>
      <c r="M86" s="65">
        <f t="shared" si="161"/>
        <v>3</v>
      </c>
      <c r="N86" s="94">
        <f t="shared" si="162"/>
        <v>0.28134652493198486</v>
      </c>
      <c r="O86" s="65">
        <f t="shared" si="163"/>
        <v>6.4926121138150161E-2</v>
      </c>
      <c r="P86" s="94">
        <f t="shared" ref="P86:P88" si="173">+N86+O86*(L86-M86)</f>
        <v>0.34627264607013503</v>
      </c>
    </row>
    <row r="87" spans="1:16" x14ac:dyDescent="0.35">
      <c r="A87" s="2" t="s">
        <v>478</v>
      </c>
      <c r="B87" s="65">
        <f t="shared" si="164"/>
        <v>10.666370855260029</v>
      </c>
      <c r="C87" s="65">
        <f t="shared" si="165"/>
        <v>1.5194423482757151</v>
      </c>
      <c r="D87" s="65">
        <v>1</v>
      </c>
      <c r="E87" s="65"/>
      <c r="F87" s="65">
        <f t="shared" si="171"/>
        <v>0.25894827906168771</v>
      </c>
      <c r="G87" s="2">
        <v>11.95</v>
      </c>
      <c r="H87" s="2">
        <v>6</v>
      </c>
      <c r="I87" s="65">
        <f>+main!$C$80+(H87-1)*main!$C$83</f>
        <v>6.25</v>
      </c>
      <c r="J87" s="65">
        <f t="shared" si="166"/>
        <v>11.691051720938312</v>
      </c>
      <c r="K87" s="65">
        <f t="shared" si="12"/>
        <v>11.40443021041744</v>
      </c>
      <c r="L87" s="65">
        <f t="shared" si="172"/>
        <v>6.25</v>
      </c>
      <c r="M87" s="65">
        <f t="shared" si="161"/>
        <v>6</v>
      </c>
      <c r="N87" s="94">
        <f t="shared" si="162"/>
        <v>0.47612488834643535</v>
      </c>
      <c r="O87" s="65">
        <f t="shared" si="163"/>
        <v>3.8474738452237235E-2</v>
      </c>
      <c r="P87" s="94">
        <f t="shared" si="173"/>
        <v>0.48574357295949466</v>
      </c>
    </row>
    <row r="88" spans="1:16" x14ac:dyDescent="0.35">
      <c r="A88" s="2" t="s">
        <v>478</v>
      </c>
      <c r="B88" s="65">
        <f t="shared" si="164"/>
        <v>10.666370855260029</v>
      </c>
      <c r="C88" s="65">
        <f t="shared" si="165"/>
        <v>1.5194423482757151</v>
      </c>
      <c r="D88" s="65">
        <v>1</v>
      </c>
      <c r="E88" s="65"/>
      <c r="F88" s="65">
        <f t="shared" si="171"/>
        <v>0.58132585963104511</v>
      </c>
      <c r="G88" s="2">
        <v>12.3</v>
      </c>
      <c r="H88" s="2">
        <v>7</v>
      </c>
      <c r="I88" s="65">
        <f>+main!$C$80+(H88-1)*main!$C$83</f>
        <v>6.7</v>
      </c>
      <c r="J88" s="65">
        <f t="shared" si="166"/>
        <v>11.718674140368956</v>
      </c>
      <c r="K88" s="65">
        <f t="shared" si="12"/>
        <v>11.430737276541862</v>
      </c>
      <c r="L88" s="65">
        <f t="shared" si="172"/>
        <v>6.7</v>
      </c>
      <c r="M88" s="65">
        <f t="shared" si="161"/>
        <v>6</v>
      </c>
      <c r="N88" s="94">
        <f t="shared" si="162"/>
        <v>0.47612488834643535</v>
      </c>
      <c r="O88" s="65">
        <f t="shared" si="163"/>
        <v>3.8474738452237235E-2</v>
      </c>
      <c r="P88" s="94">
        <f t="shared" si="173"/>
        <v>0.50305720526300146</v>
      </c>
    </row>
    <row r="89" spans="1:16" x14ac:dyDescent="0.35">
      <c r="A89" s="2" t="s">
        <v>478</v>
      </c>
      <c r="B89" s="65">
        <f t="shared" si="164"/>
        <v>10.666370855260029</v>
      </c>
      <c r="C89" s="65">
        <f t="shared" si="165"/>
        <v>1.5194423482757151</v>
      </c>
      <c r="D89" s="65">
        <v>1</v>
      </c>
      <c r="E89" s="65"/>
      <c r="F89" s="65"/>
      <c r="G89" s="2"/>
      <c r="H89" s="2">
        <v>10</v>
      </c>
      <c r="I89" s="65">
        <f>+main!$C$80+(H89-1)*main!$C$83</f>
        <v>8.0500000000000007</v>
      </c>
      <c r="J89" s="65">
        <f t="shared" si="166"/>
        <v>11.801541398660886</v>
      </c>
      <c r="K89" s="65">
        <f t="shared" si="12"/>
        <v>11.509658474915129</v>
      </c>
      <c r="L89" s="65">
        <f t="shared" ref="L89:L90" si="174">+I89/D89</f>
        <v>8.0500000000000007</v>
      </c>
      <c r="M89" s="65">
        <f t="shared" si="161"/>
        <v>6</v>
      </c>
      <c r="N89" s="94">
        <f t="shared" si="162"/>
        <v>0.47612488834643535</v>
      </c>
      <c r="O89" s="65">
        <f t="shared" si="163"/>
        <v>3.8474738452237235E-2</v>
      </c>
      <c r="P89" s="94">
        <f t="shared" ref="P89:P90" si="175">+N89+O89*(L89-M89)</f>
        <v>0.55499810217352175</v>
      </c>
    </row>
    <row r="90" spans="1:16" x14ac:dyDescent="0.35">
      <c r="A90" s="2" t="s">
        <v>478</v>
      </c>
      <c r="B90" s="65">
        <f t="shared" si="164"/>
        <v>10.666370855260029</v>
      </c>
      <c r="C90" s="65">
        <f t="shared" si="165"/>
        <v>1.5194423482757151</v>
      </c>
      <c r="D90" s="65">
        <v>1</v>
      </c>
      <c r="E90" s="65"/>
      <c r="F90" s="65"/>
      <c r="G90" s="2"/>
      <c r="H90" s="2">
        <v>13</v>
      </c>
      <c r="I90" s="65">
        <f>+main!$C$80+(H90-1)*main!$C$83</f>
        <v>9.4</v>
      </c>
      <c r="J90" s="65">
        <f t="shared" si="166"/>
        <v>11.872745857637657</v>
      </c>
      <c r="K90" s="65">
        <f t="shared" si="12"/>
        <v>11.577472245369197</v>
      </c>
      <c r="L90" s="65">
        <f t="shared" si="174"/>
        <v>9.4</v>
      </c>
      <c r="M90" s="65">
        <f t="shared" si="161"/>
        <v>9</v>
      </c>
      <c r="N90" s="94">
        <f t="shared" si="162"/>
        <v>0.59154910370314706</v>
      </c>
      <c r="O90" s="65">
        <f t="shared" si="163"/>
        <v>2.0199237687424414E-2</v>
      </c>
      <c r="P90" s="94">
        <f t="shared" si="175"/>
        <v>0.59962879877811681</v>
      </c>
    </row>
    <row r="91" spans="1:16" x14ac:dyDescent="0.35">
      <c r="A91" s="2" t="s">
        <v>478</v>
      </c>
      <c r="B91" s="65">
        <f t="shared" si="164"/>
        <v>10.666370855260029</v>
      </c>
      <c r="C91" s="65">
        <f t="shared" si="165"/>
        <v>1.5194423482757151</v>
      </c>
      <c r="D91" s="65">
        <v>1</v>
      </c>
      <c r="E91" s="65"/>
      <c r="F91" s="65"/>
      <c r="G91" s="2"/>
      <c r="H91" s="2"/>
      <c r="I91" s="65">
        <v>10</v>
      </c>
      <c r="J91" s="65">
        <f t="shared" si="166"/>
        <v>11.892081551239107</v>
      </c>
      <c r="K91" s="65">
        <f t="shared" si="12"/>
        <v>11.595887191656292</v>
      </c>
      <c r="L91" s="65">
        <f t="shared" ref="L91:L92" si="176">+I91/D91</f>
        <v>10</v>
      </c>
      <c r="M91" s="65">
        <f t="shared" si="161"/>
        <v>9</v>
      </c>
      <c r="N91" s="94">
        <f t="shared" si="162"/>
        <v>0.59154910370314706</v>
      </c>
      <c r="O91" s="65">
        <f t="shared" si="163"/>
        <v>2.0199237687424414E-2</v>
      </c>
      <c r="P91" s="94">
        <f t="shared" ref="P91:P92" si="177">+N91+O91*(L91-M91)</f>
        <v>0.61174834139057144</v>
      </c>
    </row>
    <row r="92" spans="1:16" x14ac:dyDescent="0.35">
      <c r="A92" s="2" t="s">
        <v>478</v>
      </c>
      <c r="B92" s="65">
        <f t="shared" si="164"/>
        <v>10.666370855260029</v>
      </c>
      <c r="C92" s="65">
        <f t="shared" si="165"/>
        <v>1.5194423482757151</v>
      </c>
      <c r="D92" s="65">
        <v>1</v>
      </c>
      <c r="E92" s="65"/>
      <c r="F92" s="65"/>
      <c r="G92" s="2"/>
      <c r="H92" s="2"/>
      <c r="I92" s="65">
        <v>13</v>
      </c>
      <c r="J92" s="65">
        <f t="shared" si="166"/>
        <v>11.966968999473297</v>
      </c>
      <c r="K92" s="65">
        <f t="shared" si="12"/>
        <v>11.667208570926949</v>
      </c>
      <c r="L92" s="65">
        <f t="shared" si="176"/>
        <v>13</v>
      </c>
      <c r="M92" s="65">
        <f t="shared" si="161"/>
        <v>12</v>
      </c>
      <c r="N92" s="94">
        <f t="shared" si="162"/>
        <v>0.6521468167654203</v>
      </c>
      <c r="O92" s="65">
        <f t="shared" si="163"/>
        <v>6.5407055368803761E-3</v>
      </c>
      <c r="P92" s="94">
        <f t="shared" si="177"/>
        <v>0.65868752230230065</v>
      </c>
    </row>
    <row r="93" spans="1:16" x14ac:dyDescent="0.35">
      <c r="A93" s="2"/>
      <c r="B93" s="65"/>
      <c r="C93" s="65"/>
      <c r="D93" s="65"/>
      <c r="E93" s="65"/>
      <c r="F93" s="65"/>
      <c r="G93" s="2"/>
      <c r="H93" s="2"/>
      <c r="I93" s="65"/>
      <c r="J93" s="65"/>
      <c r="K93" s="65">
        <f t="shared" si="12"/>
        <v>0</v>
      </c>
      <c r="L93" s="65"/>
      <c r="M93" s="65"/>
      <c r="N93" s="94"/>
      <c r="O93" s="65"/>
      <c r="P93" s="94"/>
    </row>
    <row r="94" spans="1:16" x14ac:dyDescent="0.35">
      <c r="A94" s="2" t="s">
        <v>480</v>
      </c>
      <c r="B94" s="65">
        <f>+B$5</f>
        <v>10.716370855260029</v>
      </c>
      <c r="C94" s="65">
        <f>+C$5</f>
        <v>1.4694423482757148</v>
      </c>
      <c r="D94" s="65">
        <v>1</v>
      </c>
      <c r="E94" s="65"/>
      <c r="F94" s="2"/>
      <c r="G94" s="2"/>
      <c r="H94" s="2"/>
      <c r="I94" s="65">
        <v>0</v>
      </c>
      <c r="J94" s="65">
        <f t="shared" si="166"/>
        <v>10.968589398023031</v>
      </c>
      <c r="K94" s="65">
        <f t="shared" si="12"/>
        <v>10.716370855260029</v>
      </c>
      <c r="L94" s="65">
        <f t="shared" ref="L94:L95" si="178">+I94/D94</f>
        <v>0</v>
      </c>
      <c r="M94" s="65">
        <f t="shared" ref="M94:M103" si="179">+(VLOOKUP(L94,TcrvPD,1))</f>
        <v>0</v>
      </c>
      <c r="N94" s="94">
        <f t="shared" ref="N94:N103" si="180">+(VLOOKUP(L94,TcrvPD,2))</f>
        <v>0</v>
      </c>
      <c r="O94" s="65">
        <f t="shared" ref="O94:O103" si="181">+(VLOOKUP(L94,TcrvPD,3))</f>
        <v>6.7471233884625531E-2</v>
      </c>
      <c r="P94" s="94">
        <f t="shared" ref="P94:P95" si="182">+N94+O94*(L94-M94)</f>
        <v>0</v>
      </c>
    </row>
    <row r="95" spans="1:16" x14ac:dyDescent="0.35">
      <c r="A95" s="2" t="s">
        <v>480</v>
      </c>
      <c r="B95" s="65">
        <f t="shared" ref="B95:C103" si="183">+B$5</f>
        <v>10.716370855260029</v>
      </c>
      <c r="C95" s="65">
        <f t="shared" si="183"/>
        <v>1.4694423482757148</v>
      </c>
      <c r="D95" s="65">
        <v>1</v>
      </c>
      <c r="E95" s="65"/>
      <c r="F95" s="2"/>
      <c r="G95" s="2"/>
      <c r="H95" s="2"/>
      <c r="I95" s="65">
        <v>2</v>
      </c>
      <c r="J95" s="65">
        <f t="shared" si="166"/>
        <v>11.303834230699582</v>
      </c>
      <c r="K95" s="65">
        <f t="shared" si="12"/>
        <v>11.035651648285317</v>
      </c>
      <c r="L95" s="65">
        <f t="shared" si="178"/>
        <v>2</v>
      </c>
      <c r="M95" s="65">
        <f t="shared" si="179"/>
        <v>0.5</v>
      </c>
      <c r="N95" s="94">
        <f t="shared" si="180"/>
        <v>3.3735616942312766E-2</v>
      </c>
      <c r="O95" s="65">
        <f t="shared" si="181"/>
        <v>0.12236308518059147</v>
      </c>
      <c r="P95" s="94">
        <f t="shared" si="182"/>
        <v>0.21728024471319995</v>
      </c>
    </row>
    <row r="96" spans="1:16" x14ac:dyDescent="0.35">
      <c r="A96" s="2" t="s">
        <v>480</v>
      </c>
      <c r="B96" s="65">
        <f t="shared" si="183"/>
        <v>10.716370855260029</v>
      </c>
      <c r="C96" s="65">
        <f t="shared" si="183"/>
        <v>1.4694423482757148</v>
      </c>
      <c r="D96" s="65">
        <v>1</v>
      </c>
      <c r="E96" s="65"/>
      <c r="F96" s="2"/>
      <c r="G96" s="2"/>
      <c r="H96" s="2"/>
      <c r="I96" s="65">
        <f>+main!$C$160</f>
        <v>3.65</v>
      </c>
      <c r="J96" s="65">
        <f t="shared" si="166"/>
        <v>11.580367106495542</v>
      </c>
      <c r="K96" s="65">
        <f t="shared" si="12"/>
        <v>11.299016291900516</v>
      </c>
      <c r="L96" s="65">
        <f t="shared" ref="L96" si="184">+I96/D96</f>
        <v>3.65</v>
      </c>
      <c r="M96" s="65">
        <f t="shared" si="179"/>
        <v>3</v>
      </c>
      <c r="N96" s="94">
        <f t="shared" si="180"/>
        <v>0.33964332989379142</v>
      </c>
      <c r="O96" s="65">
        <f t="shared" si="181"/>
        <v>8.7483888002945973E-2</v>
      </c>
      <c r="P96" s="94">
        <f t="shared" ref="P96" si="185">+N96+O96*(L96-M96)</f>
        <v>0.3965078570957063</v>
      </c>
    </row>
    <row r="97" spans="1:16" x14ac:dyDescent="0.35">
      <c r="A97" s="2" t="s">
        <v>480</v>
      </c>
      <c r="B97" s="65">
        <f t="shared" si="183"/>
        <v>10.716370855260029</v>
      </c>
      <c r="C97" s="65">
        <f t="shared" si="183"/>
        <v>1.4694423482757148</v>
      </c>
      <c r="D97" s="65">
        <v>1</v>
      </c>
      <c r="E97" s="65"/>
      <c r="F97" s="2"/>
      <c r="G97" s="2"/>
      <c r="H97" s="2">
        <v>1</v>
      </c>
      <c r="I97" s="65">
        <f>+main!$C$80+(H97-1)*main!$C$83</f>
        <v>4</v>
      </c>
      <c r="J97" s="65">
        <f t="shared" si="166"/>
        <v>11.62761016120562</v>
      </c>
      <c r="K97" s="65">
        <f t="shared" si="12"/>
        <v>11.344009677338684</v>
      </c>
      <c r="L97" s="65">
        <f t="shared" ref="L97:L99" si="186">+I97/D97</f>
        <v>4</v>
      </c>
      <c r="M97" s="65">
        <f t="shared" si="179"/>
        <v>3</v>
      </c>
      <c r="N97" s="94">
        <f t="shared" si="180"/>
        <v>0.33964332989379142</v>
      </c>
      <c r="O97" s="65">
        <f t="shared" si="181"/>
        <v>8.7483888002945973E-2</v>
      </c>
      <c r="P97" s="94">
        <f t="shared" ref="P97:P99" si="187">+N97+O97*(L97-M97)</f>
        <v>0.42712721789673741</v>
      </c>
    </row>
    <row r="98" spans="1:16" x14ac:dyDescent="0.35">
      <c r="A98" s="2" t="s">
        <v>480</v>
      </c>
      <c r="B98" s="65">
        <f t="shared" si="183"/>
        <v>10.716370855260029</v>
      </c>
      <c r="C98" s="65">
        <f t="shared" si="183"/>
        <v>1.4694423482757148</v>
      </c>
      <c r="D98" s="65">
        <v>1</v>
      </c>
      <c r="E98" s="65"/>
      <c r="F98" s="2"/>
      <c r="G98" s="2"/>
      <c r="H98" s="2">
        <v>6</v>
      </c>
      <c r="I98" s="65">
        <f>+main!$C$80+(H98-1)*main!$C$83</f>
        <v>6.25</v>
      </c>
      <c r="J98" s="65">
        <f t="shared" si="166"/>
        <v>11.915435494523315</v>
      </c>
      <c r="K98" s="65">
        <f t="shared" si="12"/>
        <v>11.618129042403156</v>
      </c>
      <c r="L98" s="65">
        <f t="shared" si="186"/>
        <v>6.25</v>
      </c>
      <c r="M98" s="65">
        <f t="shared" si="179"/>
        <v>6</v>
      </c>
      <c r="N98" s="94">
        <f t="shared" si="180"/>
        <v>0.60209499390262933</v>
      </c>
      <c r="O98" s="65">
        <f t="shared" si="181"/>
        <v>4.6314999530971367E-2</v>
      </c>
      <c r="P98" s="94">
        <f t="shared" si="187"/>
        <v>0.61367374378537221</v>
      </c>
    </row>
    <row r="99" spans="1:16" x14ac:dyDescent="0.35">
      <c r="A99" s="2" t="s">
        <v>480</v>
      </c>
      <c r="B99" s="65">
        <f t="shared" si="183"/>
        <v>10.716370855260029</v>
      </c>
      <c r="C99" s="65">
        <f t="shared" si="183"/>
        <v>1.4694423482757148</v>
      </c>
      <c r="D99" s="65">
        <v>1</v>
      </c>
      <c r="E99" s="65"/>
      <c r="F99" s="2"/>
      <c r="G99" s="2"/>
      <c r="H99" s="2">
        <v>7</v>
      </c>
      <c r="I99" s="65">
        <f>+main!$C$80+(H99-1)*main!$C$83</f>
        <v>6.7</v>
      </c>
      <c r="J99" s="65">
        <f t="shared" si="166"/>
        <v>11.947592531762947</v>
      </c>
      <c r="K99" s="65">
        <f t="shared" si="12"/>
        <v>11.648754792155186</v>
      </c>
      <c r="L99" s="65">
        <f t="shared" si="186"/>
        <v>6.7</v>
      </c>
      <c r="M99" s="65">
        <f t="shared" si="179"/>
        <v>6</v>
      </c>
      <c r="N99" s="94">
        <f t="shared" si="180"/>
        <v>0.60209499390262933</v>
      </c>
      <c r="O99" s="65">
        <f t="shared" si="181"/>
        <v>4.6314999530971367E-2</v>
      </c>
      <c r="P99" s="94">
        <f t="shared" si="187"/>
        <v>0.63451549357430925</v>
      </c>
    </row>
    <row r="100" spans="1:16" x14ac:dyDescent="0.35">
      <c r="A100" s="2" t="s">
        <v>480</v>
      </c>
      <c r="B100" s="65">
        <f t="shared" si="183"/>
        <v>10.716370855260029</v>
      </c>
      <c r="C100" s="65">
        <f t="shared" si="183"/>
        <v>1.4694423482757148</v>
      </c>
      <c r="D100" s="65">
        <v>1</v>
      </c>
      <c r="E100" s="65"/>
      <c r="F100" s="2"/>
      <c r="G100" s="2"/>
      <c r="H100" s="2"/>
      <c r="I100" s="65">
        <v>9</v>
      </c>
      <c r="J100" s="65">
        <f t="shared" si="166"/>
        <v>12.111950722098845</v>
      </c>
      <c r="K100" s="65">
        <f t="shared" si="12"/>
        <v>11.805286401998899</v>
      </c>
      <c r="L100" s="65">
        <f t="shared" ref="L100:L103" si="188">+I100/D100</f>
        <v>9</v>
      </c>
      <c r="M100" s="65">
        <f t="shared" si="179"/>
        <v>9</v>
      </c>
      <c r="N100" s="94">
        <f t="shared" si="180"/>
        <v>0.74103999249554342</v>
      </c>
      <c r="O100" s="65">
        <f t="shared" si="181"/>
        <v>2.8303610824482368E-2</v>
      </c>
      <c r="P100" s="94">
        <f t="shared" ref="P100:P103" si="189">+N100+O100*(L100-M100)</f>
        <v>0.74103999249554342</v>
      </c>
    </row>
    <row r="101" spans="1:16" x14ac:dyDescent="0.35">
      <c r="A101" s="2" t="s">
        <v>480</v>
      </c>
      <c r="B101" s="65">
        <f t="shared" si="183"/>
        <v>10.716370855260029</v>
      </c>
      <c r="C101" s="65">
        <f t="shared" si="183"/>
        <v>1.4694423482757148</v>
      </c>
      <c r="D101" s="65">
        <v>1</v>
      </c>
      <c r="E101" s="65"/>
      <c r="F101" s="2"/>
      <c r="G101" s="2"/>
      <c r="H101" s="2"/>
      <c r="I101" s="65">
        <v>10</v>
      </c>
      <c r="J101" s="65">
        <f t="shared" ref="J101" si="190">+K101*1.05-0.2836</f>
        <v>12.155620772671183</v>
      </c>
      <c r="K101" s="65">
        <f t="shared" si="12"/>
        <v>11.846876926353508</v>
      </c>
      <c r="L101" s="65">
        <f t="shared" ref="L101" si="191">+I101/D101</f>
        <v>10</v>
      </c>
      <c r="M101" s="65">
        <f t="shared" ref="M101" si="192">+(VLOOKUP(L101,TcrvPD,1))</f>
        <v>9</v>
      </c>
      <c r="N101" s="94">
        <f t="shared" ref="N101" si="193">+(VLOOKUP(L101,TcrvPD,2))</f>
        <v>0.74103999249554342</v>
      </c>
      <c r="O101" s="65">
        <f t="shared" ref="O101" si="194">+(VLOOKUP(L101,TcrvPD,3))</f>
        <v>2.8303610824482368E-2</v>
      </c>
      <c r="P101" s="94">
        <f t="shared" ref="P101" si="195">+N101+O101*(L101-M101)</f>
        <v>0.76934360332002583</v>
      </c>
    </row>
    <row r="102" spans="1:16" x14ac:dyDescent="0.35">
      <c r="A102" s="2" t="s">
        <v>480</v>
      </c>
      <c r="B102" s="65">
        <f t="shared" si="183"/>
        <v>10.716370855260029</v>
      </c>
      <c r="C102" s="65">
        <f t="shared" si="183"/>
        <v>1.4694423482757148</v>
      </c>
      <c r="D102" s="65">
        <v>1</v>
      </c>
      <c r="E102" s="65"/>
      <c r="F102" s="2"/>
      <c r="G102" s="2"/>
      <c r="H102" s="2"/>
      <c r="I102" s="65">
        <v>11</v>
      </c>
      <c r="J102" s="65">
        <f t="shared" si="166"/>
        <v>12.199290823243523</v>
      </c>
      <c r="K102" s="65">
        <f t="shared" si="12"/>
        <v>11.888467450708117</v>
      </c>
      <c r="L102" s="65">
        <f t="shared" si="188"/>
        <v>11</v>
      </c>
      <c r="M102" s="65">
        <f t="shared" si="179"/>
        <v>9</v>
      </c>
      <c r="N102" s="94">
        <f t="shared" si="180"/>
        <v>0.74103999249554342</v>
      </c>
      <c r="O102" s="65">
        <f t="shared" si="181"/>
        <v>2.8303610824482368E-2</v>
      </c>
      <c r="P102" s="94">
        <f t="shared" si="189"/>
        <v>0.79764721414450812</v>
      </c>
    </row>
    <row r="103" spans="1:16" x14ac:dyDescent="0.35">
      <c r="A103" s="2" t="s">
        <v>480</v>
      </c>
      <c r="B103" s="65">
        <f t="shared" si="183"/>
        <v>10.716370855260029</v>
      </c>
      <c r="C103" s="65">
        <f t="shared" si="183"/>
        <v>1.4694423482757148</v>
      </c>
      <c r="D103" s="65">
        <v>1</v>
      </c>
      <c r="E103" s="65"/>
      <c r="F103" s="2"/>
      <c r="G103" s="2"/>
      <c r="H103" s="2"/>
      <c r="I103" s="65">
        <v>13</v>
      </c>
      <c r="J103" s="65">
        <f t="shared" si="166"/>
        <v>12.244584966605744</v>
      </c>
      <c r="K103" s="65">
        <f t="shared" si="12"/>
        <v>11.931604730100709</v>
      </c>
      <c r="L103" s="65">
        <f t="shared" si="188"/>
        <v>13</v>
      </c>
      <c r="M103" s="65">
        <f t="shared" si="179"/>
        <v>12</v>
      </c>
      <c r="N103" s="94">
        <f t="shared" si="180"/>
        <v>0.82595082496899053</v>
      </c>
      <c r="O103" s="65">
        <f t="shared" si="181"/>
        <v>1.0526136257039687E-3</v>
      </c>
      <c r="P103" s="94">
        <f t="shared" si="189"/>
        <v>0.8270034385946945</v>
      </c>
    </row>
    <row r="104" spans="1:16" x14ac:dyDescent="0.35">
      <c r="A104" s="2" t="s">
        <v>100</v>
      </c>
      <c r="B104" s="65">
        <f>+B$6</f>
        <v>11.130769636638533</v>
      </c>
      <c r="C104" s="65">
        <f>+C$6</f>
        <v>1.5312340430876872</v>
      </c>
      <c r="D104" s="65">
        <v>1</v>
      </c>
      <c r="E104" s="65"/>
      <c r="F104" s="2"/>
      <c r="G104" s="2"/>
      <c r="H104" s="2"/>
      <c r="I104" s="65"/>
      <c r="J104" s="65">
        <f t="shared" si="166"/>
        <v>11.40370811847046</v>
      </c>
      <c r="K104" s="65">
        <f t="shared" ref="K104:K139" si="196">B104+P104*C104-I104*E104</f>
        <v>11.130769636638533</v>
      </c>
      <c r="L104" s="65">
        <f t="shared" ref="L104" si="197">+I104/D104</f>
        <v>0</v>
      </c>
      <c r="M104" s="65">
        <f t="shared" ref="M104:M111" si="198">+(VLOOKUP(L104,TcrvCW,1))</f>
        <v>0</v>
      </c>
      <c r="N104" s="94">
        <f t="shared" ref="N104:N111" si="199">+(VLOOKUP(L104,TcrvCW,2))</f>
        <v>0</v>
      </c>
      <c r="O104" s="65">
        <f t="shared" ref="O104:O111" si="200">+(VLOOKUP(L104,TcrvCW,3))</f>
        <v>9.1054212324746031E-2</v>
      </c>
      <c r="P104" s="94">
        <f t="shared" ref="P104" si="201">+N104+O104*(L104-M104)</f>
        <v>0</v>
      </c>
    </row>
    <row r="105" spans="1:16" x14ac:dyDescent="0.35">
      <c r="A105" s="2" t="s">
        <v>100</v>
      </c>
      <c r="B105" s="65">
        <f t="shared" ref="B105:C107" si="202">+B$6</f>
        <v>11.130769636638533</v>
      </c>
      <c r="C105" s="65">
        <f t="shared" si="202"/>
        <v>1.5312340430876872</v>
      </c>
      <c r="D105" s="65">
        <v>1</v>
      </c>
      <c r="E105" s="65"/>
      <c r="F105" s="2"/>
      <c r="G105" s="2"/>
      <c r="H105" s="2"/>
      <c r="I105" s="65">
        <v>3</v>
      </c>
      <c r="J105" s="65">
        <f t="shared" si="166"/>
        <v>11.842897843956745</v>
      </c>
      <c r="K105" s="65">
        <f t="shared" si="196"/>
        <v>11.54904556567309</v>
      </c>
      <c r="L105" s="65">
        <f t="shared" ref="L105:L107" si="203">+I105/D105</f>
        <v>3</v>
      </c>
      <c r="M105" s="65">
        <f t="shared" si="198"/>
        <v>3</v>
      </c>
      <c r="N105" s="94">
        <f t="shared" si="199"/>
        <v>0.27316263697423809</v>
      </c>
      <c r="O105" s="65">
        <f t="shared" si="200"/>
        <v>6.718563239495863E-2</v>
      </c>
      <c r="P105" s="94">
        <f t="shared" ref="P105:P107" si="204">+N105+O105*(L105-M105)</f>
        <v>0.27316263697423809</v>
      </c>
    </row>
    <row r="106" spans="1:16" x14ac:dyDescent="0.35">
      <c r="A106" s="2" t="s">
        <v>100</v>
      </c>
      <c r="B106" s="65">
        <f t="shared" si="202"/>
        <v>11.130769636638533</v>
      </c>
      <c r="C106" s="65">
        <f t="shared" si="202"/>
        <v>1.5312340430876872</v>
      </c>
      <c r="D106" s="65">
        <v>1</v>
      </c>
      <c r="E106" s="65"/>
      <c r="F106" s="2"/>
      <c r="G106" s="2"/>
      <c r="H106" s="2"/>
      <c r="I106" s="65">
        <v>6</v>
      </c>
      <c r="J106" s="65">
        <f t="shared" si="166"/>
        <v>12.166960165674782</v>
      </c>
      <c r="K106" s="65">
        <f t="shared" si="196"/>
        <v>11.857676348261696</v>
      </c>
      <c r="L106" s="65">
        <f t="shared" si="203"/>
        <v>6</v>
      </c>
      <c r="M106" s="65">
        <f t="shared" si="198"/>
        <v>6</v>
      </c>
      <c r="N106" s="94">
        <f t="shared" si="199"/>
        <v>0.474719534159114</v>
      </c>
      <c r="O106" s="65">
        <f t="shared" si="200"/>
        <v>3.4476837676360207E-2</v>
      </c>
      <c r="P106" s="94">
        <f t="shared" si="204"/>
        <v>0.474719534159114</v>
      </c>
    </row>
    <row r="107" spans="1:16" x14ac:dyDescent="0.35">
      <c r="A107" s="2" t="s">
        <v>100</v>
      </c>
      <c r="B107" s="65">
        <f t="shared" si="202"/>
        <v>11.130769636638533</v>
      </c>
      <c r="C107" s="65">
        <f t="shared" si="202"/>
        <v>1.5312340430876872</v>
      </c>
      <c r="D107" s="65">
        <v>1</v>
      </c>
      <c r="E107" s="65"/>
      <c r="F107" s="2"/>
      <c r="G107" s="2"/>
      <c r="H107" s="2"/>
      <c r="I107" s="65">
        <v>9</v>
      </c>
      <c r="J107" s="65">
        <f t="shared" si="166"/>
        <v>12.333255304451143</v>
      </c>
      <c r="K107" s="65">
        <f t="shared" si="196"/>
        <v>12.01605267090585</v>
      </c>
      <c r="L107" s="65">
        <f t="shared" si="203"/>
        <v>9</v>
      </c>
      <c r="M107" s="65">
        <f t="shared" si="198"/>
        <v>9</v>
      </c>
      <c r="N107" s="94">
        <f t="shared" si="199"/>
        <v>0.57815004718819463</v>
      </c>
      <c r="O107" s="65">
        <f t="shared" si="200"/>
        <v>2.0332494014263847E-2</v>
      </c>
      <c r="P107" s="94">
        <f t="shared" si="204"/>
        <v>0.57815004718819463</v>
      </c>
    </row>
    <row r="108" spans="1:16" x14ac:dyDescent="0.35">
      <c r="A108" s="2" t="str">
        <f>+A104</f>
        <v>Colts wet</v>
      </c>
      <c r="B108" s="65">
        <f t="shared" ref="B108:C111" si="205">+B$6</f>
        <v>11.130769636638533</v>
      </c>
      <c r="C108" s="65">
        <f t="shared" si="205"/>
        <v>1.5312340430876872</v>
      </c>
      <c r="D108" s="65">
        <v>1</v>
      </c>
      <c r="E108" s="65"/>
      <c r="F108" s="65">
        <f t="shared" ref="F108:F111" si="206">+G108-J108</f>
        <v>0.26156373093579433</v>
      </c>
      <c r="G108" s="2">
        <v>12.7</v>
      </c>
      <c r="H108" s="2"/>
      <c r="I108" s="124">
        <f>+main!C88</f>
        <v>12.2501</v>
      </c>
      <c r="J108" s="65">
        <f t="shared" si="166"/>
        <v>12.438436269064205</v>
      </c>
      <c r="K108" s="65">
        <f t="shared" si="196"/>
        <v>12.116225018156385</v>
      </c>
      <c r="L108" s="65">
        <f t="shared" ref="L108:L111" si="207">+I108/D108</f>
        <v>12.2501</v>
      </c>
      <c r="M108" s="65">
        <f t="shared" si="198"/>
        <v>12</v>
      </c>
      <c r="N108" s="94">
        <f t="shared" si="199"/>
        <v>0.63914752923098617</v>
      </c>
      <c r="O108" s="65">
        <f t="shared" si="200"/>
        <v>1.7680429577621171E-2</v>
      </c>
      <c r="P108" s="94">
        <f t="shared" ref="P108:P111" si="208">+N108+O108*(L108-M108)</f>
        <v>0.64356940466834922</v>
      </c>
    </row>
    <row r="109" spans="1:16" x14ac:dyDescent="0.35">
      <c r="A109" s="2" t="str">
        <f t="shared" ref="A109:A111" si="209">+A108</f>
        <v>Colts wet</v>
      </c>
      <c r="B109" s="65">
        <f t="shared" si="205"/>
        <v>11.130769636638533</v>
      </c>
      <c r="C109" s="65">
        <f t="shared" si="205"/>
        <v>1.5312340430876872</v>
      </c>
      <c r="D109" s="65">
        <v>1</v>
      </c>
      <c r="E109" s="65"/>
      <c r="F109" s="65">
        <f t="shared" si="206"/>
        <v>0.30208917200345908</v>
      </c>
      <c r="G109" s="2">
        <v>12.75</v>
      </c>
      <c r="H109" s="2"/>
      <c r="I109" s="124">
        <f>+main!C89</f>
        <v>12.583399999999999</v>
      </c>
      <c r="J109" s="65">
        <f t="shared" si="166"/>
        <v>12.447910827996541</v>
      </c>
      <c r="K109" s="65">
        <f t="shared" si="196"/>
        <v>12.125248407615752</v>
      </c>
      <c r="L109" s="65">
        <f t="shared" si="207"/>
        <v>12.583399999999999</v>
      </c>
      <c r="M109" s="65">
        <f t="shared" si="198"/>
        <v>12</v>
      </c>
      <c r="N109" s="94">
        <f t="shared" si="199"/>
        <v>0.63914752923098617</v>
      </c>
      <c r="O109" s="65">
        <f t="shared" si="200"/>
        <v>1.7680429577621171E-2</v>
      </c>
      <c r="P109" s="94">
        <f t="shared" si="208"/>
        <v>0.64946229184657034</v>
      </c>
    </row>
    <row r="110" spans="1:16" x14ac:dyDescent="0.35">
      <c r="A110" s="2" t="str">
        <f t="shared" si="209"/>
        <v>Colts wet</v>
      </c>
      <c r="B110" s="65">
        <f t="shared" si="205"/>
        <v>11.130769636638533</v>
      </c>
      <c r="C110" s="65">
        <f t="shared" si="205"/>
        <v>1.5312340430876872</v>
      </c>
      <c r="D110" s="65">
        <v>1</v>
      </c>
      <c r="E110" s="65"/>
      <c r="F110" s="65">
        <f t="shared" si="206"/>
        <v>0.4926146130711242</v>
      </c>
      <c r="G110" s="2">
        <v>12.95</v>
      </c>
      <c r="H110" s="2"/>
      <c r="I110" s="124">
        <f>+main!C90</f>
        <v>12.916699999999999</v>
      </c>
      <c r="J110" s="65">
        <f t="shared" si="166"/>
        <v>12.457385386928875</v>
      </c>
      <c r="K110" s="65">
        <f t="shared" si="196"/>
        <v>12.134271797075119</v>
      </c>
      <c r="L110" s="65">
        <f t="shared" si="207"/>
        <v>12.916699999999999</v>
      </c>
      <c r="M110" s="65">
        <f t="shared" si="198"/>
        <v>12</v>
      </c>
      <c r="N110" s="94">
        <f t="shared" si="199"/>
        <v>0.63914752923098617</v>
      </c>
      <c r="O110" s="65">
        <f t="shared" si="200"/>
        <v>1.7680429577621171E-2</v>
      </c>
      <c r="P110" s="94">
        <f t="shared" si="208"/>
        <v>0.65535517902479146</v>
      </c>
    </row>
    <row r="111" spans="1:16" x14ac:dyDescent="0.35">
      <c r="A111" s="2" t="str">
        <f t="shared" si="209"/>
        <v>Colts wet</v>
      </c>
      <c r="B111" s="65">
        <f t="shared" si="205"/>
        <v>11.130769636638533</v>
      </c>
      <c r="C111" s="65">
        <f t="shared" si="205"/>
        <v>1.5312340430876872</v>
      </c>
      <c r="D111" s="65">
        <v>1</v>
      </c>
      <c r="E111" s="65"/>
      <c r="F111" s="65">
        <f t="shared" si="206"/>
        <v>8.3140054138789665E-2</v>
      </c>
      <c r="G111" s="2">
        <v>12.55</v>
      </c>
      <c r="H111" s="2"/>
      <c r="I111" s="124">
        <f>+main!C91</f>
        <v>13.249999999999998</v>
      </c>
      <c r="J111" s="65">
        <f t="shared" si="166"/>
        <v>12.466859945861211</v>
      </c>
      <c r="K111" s="65">
        <f t="shared" si="196"/>
        <v>12.143295186534486</v>
      </c>
      <c r="L111" s="65">
        <f t="shared" si="207"/>
        <v>13.249999999999998</v>
      </c>
      <c r="M111" s="65">
        <f t="shared" si="198"/>
        <v>12</v>
      </c>
      <c r="N111" s="94">
        <f t="shared" si="199"/>
        <v>0.63914752923098617</v>
      </c>
      <c r="O111" s="65">
        <f t="shared" si="200"/>
        <v>1.7680429577621171E-2</v>
      </c>
      <c r="P111" s="94">
        <f t="shared" si="208"/>
        <v>0.66124806620301257</v>
      </c>
    </row>
    <row r="112" spans="1:16" x14ac:dyDescent="0.35">
      <c r="A112" s="2" t="s">
        <v>1001</v>
      </c>
      <c r="B112" s="65">
        <f>+B$7</f>
        <v>11.214473340342236</v>
      </c>
      <c r="C112" s="65">
        <f>+-gas!O30</f>
        <v>0.54442505358295712</v>
      </c>
      <c r="D112" s="65">
        <f>+D11</f>
        <v>3.7200000000000006</v>
      </c>
      <c r="E112" s="134">
        <f>+main!$C$121</f>
        <v>1.3293650793650715E-3</v>
      </c>
      <c r="F112" s="65"/>
      <c r="G112" s="2"/>
      <c r="H112" s="2"/>
      <c r="I112" s="124">
        <v>0</v>
      </c>
      <c r="J112" s="65">
        <f t="shared" ref="J112" si="210">+K112*1.05-0.2836</f>
        <v>11.491597007359349</v>
      </c>
      <c r="K112" s="65">
        <f t="shared" si="196"/>
        <v>11.214473340342236</v>
      </c>
      <c r="L112" s="65">
        <f t="shared" ref="L112" si="211">+I112/D112</f>
        <v>0</v>
      </c>
      <c r="M112" s="65">
        <f t="shared" ref="M112:M117" si="212">+(VLOOKUP(L112,TcrvCD,1))</f>
        <v>0</v>
      </c>
      <c r="N112" s="94">
        <f t="shared" ref="N112:N117" si="213">+(VLOOKUP(L112,TcrvCD,2))</f>
        <v>0</v>
      </c>
      <c r="O112" s="65">
        <f t="shared" ref="O112:O117" si="214">+(VLOOKUP(L112,TcrvCD,3))</f>
        <v>0.1145919219735152</v>
      </c>
      <c r="P112" s="94">
        <f t="shared" ref="P112" si="215">+N112+O112*(L112-M112)</f>
        <v>0</v>
      </c>
    </row>
    <row r="113" spans="1:16" x14ac:dyDescent="0.35">
      <c r="A113" s="2" t="str">
        <f>+A112</f>
        <v>Colts dry in bag</v>
      </c>
      <c r="B113" s="65">
        <f t="shared" ref="B113:B119" si="216">+B$7</f>
        <v>11.214473340342236</v>
      </c>
      <c r="C113" s="65">
        <f>+C112</f>
        <v>0.54442505358295712</v>
      </c>
      <c r="D113" s="65">
        <f>+$D$112</f>
        <v>3.7200000000000006</v>
      </c>
      <c r="E113" s="134">
        <f>+main!$C$121</f>
        <v>1.3293650793650715E-3</v>
      </c>
      <c r="F113" s="65"/>
      <c r="G113" s="2"/>
      <c r="H113" s="2"/>
      <c r="I113" s="124">
        <v>3</v>
      </c>
      <c r="J113" s="65">
        <f t="shared" ref="J113:J117" si="217">+K113*1.05-0.2836</f>
        <v>11.540236966168733</v>
      </c>
      <c r="K113" s="65">
        <f t="shared" si="196"/>
        <v>11.260797110636888</v>
      </c>
      <c r="L113" s="65">
        <f t="shared" ref="L113:L117" si="218">+I113/D113</f>
        <v>0.80645161290322565</v>
      </c>
      <c r="M113" s="65">
        <f t="shared" si="212"/>
        <v>0</v>
      </c>
      <c r="N113" s="94">
        <f t="shared" si="213"/>
        <v>0</v>
      </c>
      <c r="O113" s="65">
        <f t="shared" si="214"/>
        <v>0.1145919219735152</v>
      </c>
      <c r="P113" s="94">
        <f t="shared" ref="P113:P117" si="219">+N113+O113*(L113-M113)</f>
        <v>9.2412840301221919E-2</v>
      </c>
    </row>
    <row r="114" spans="1:16" x14ac:dyDescent="0.35">
      <c r="A114" s="2" t="str">
        <f t="shared" ref="A114:A119" si="220">+A113</f>
        <v>Colts dry in bag</v>
      </c>
      <c r="B114" s="65">
        <f t="shared" si="216"/>
        <v>11.214473340342236</v>
      </c>
      <c r="C114" s="65">
        <f t="shared" ref="C114:C125" si="221">+C113</f>
        <v>0.54442505358295712</v>
      </c>
      <c r="D114" s="65">
        <f t="shared" ref="D114:D120" si="222">+$D$112</f>
        <v>3.7200000000000006</v>
      </c>
      <c r="E114" s="134">
        <f>+main!$C$121</f>
        <v>1.3293650793650715E-3</v>
      </c>
      <c r="F114" s="65"/>
      <c r="G114" s="2"/>
      <c r="H114" s="2"/>
      <c r="I114" s="124">
        <v>6</v>
      </c>
      <c r="J114" s="65">
        <f t="shared" si="217"/>
        <v>11.588876924978115</v>
      </c>
      <c r="K114" s="65">
        <f t="shared" si="196"/>
        <v>11.307120880931537</v>
      </c>
      <c r="L114" s="65">
        <f t="shared" si="218"/>
        <v>1.6129032258064513</v>
      </c>
      <c r="M114" s="65">
        <f t="shared" si="212"/>
        <v>0</v>
      </c>
      <c r="N114" s="94">
        <f t="shared" si="213"/>
        <v>0</v>
      </c>
      <c r="O114" s="65">
        <f t="shared" si="214"/>
        <v>0.1145919219735152</v>
      </c>
      <c r="P114" s="94">
        <f t="shared" si="219"/>
        <v>0.18482568060244384</v>
      </c>
    </row>
    <row r="115" spans="1:16" x14ac:dyDescent="0.35">
      <c r="A115" s="2" t="str">
        <f t="shared" si="220"/>
        <v>Colts dry in bag</v>
      </c>
      <c r="B115" s="65">
        <f t="shared" si="216"/>
        <v>11.214473340342236</v>
      </c>
      <c r="C115" s="65">
        <f t="shared" si="221"/>
        <v>0.54442505358295712</v>
      </c>
      <c r="D115" s="65">
        <f t="shared" si="222"/>
        <v>3.7200000000000006</v>
      </c>
      <c r="E115" s="134">
        <f>+main!$C$121</f>
        <v>1.3293650793650715E-3</v>
      </c>
      <c r="F115" s="65"/>
      <c r="G115" s="2"/>
      <c r="H115" s="2"/>
      <c r="I115" s="124">
        <v>9</v>
      </c>
      <c r="J115" s="65">
        <f t="shared" si="217"/>
        <v>11.6375168837875</v>
      </c>
      <c r="K115" s="65">
        <f t="shared" si="196"/>
        <v>11.353444651226189</v>
      </c>
      <c r="L115" s="65">
        <f t="shared" si="218"/>
        <v>2.419354838709677</v>
      </c>
      <c r="M115" s="65">
        <f t="shared" si="212"/>
        <v>0</v>
      </c>
      <c r="N115" s="94">
        <f t="shared" si="213"/>
        <v>0</v>
      </c>
      <c r="O115" s="65">
        <f t="shared" si="214"/>
        <v>0.1145919219735152</v>
      </c>
      <c r="P115" s="94">
        <f t="shared" si="219"/>
        <v>0.27723852090366574</v>
      </c>
    </row>
    <row r="116" spans="1:16" x14ac:dyDescent="0.35">
      <c r="A116" s="2" t="str">
        <f t="shared" si="220"/>
        <v>Colts dry in bag</v>
      </c>
      <c r="B116" s="65">
        <f t="shared" si="216"/>
        <v>11.214473340342236</v>
      </c>
      <c r="C116" s="65">
        <f t="shared" si="221"/>
        <v>0.54442505358295712</v>
      </c>
      <c r="D116" s="65">
        <f t="shared" si="222"/>
        <v>3.7200000000000006</v>
      </c>
      <c r="E116" s="134">
        <f>+main!$C$121</f>
        <v>1.3293650793650715E-3</v>
      </c>
      <c r="F116" s="65"/>
      <c r="G116" s="2"/>
      <c r="H116" s="2"/>
      <c r="I116" s="124">
        <v>12</v>
      </c>
      <c r="J116" s="65">
        <f t="shared" si="217"/>
        <v>11.683013608797724</v>
      </c>
      <c r="K116" s="65">
        <f t="shared" si="196"/>
        <v>11.396774865521641</v>
      </c>
      <c r="L116" s="65">
        <f t="shared" si="218"/>
        <v>3.2258064516129026</v>
      </c>
      <c r="M116" s="65">
        <f t="shared" si="212"/>
        <v>3</v>
      </c>
      <c r="N116" s="94">
        <f t="shared" si="213"/>
        <v>0.3437757659205456</v>
      </c>
      <c r="O116" s="65">
        <f t="shared" si="214"/>
        <v>9.0241138554142619E-2</v>
      </c>
      <c r="P116" s="94">
        <f t="shared" si="219"/>
        <v>0.36415279720696486</v>
      </c>
    </row>
    <row r="117" spans="1:16" x14ac:dyDescent="0.35">
      <c r="A117" s="2" t="str">
        <f t="shared" si="220"/>
        <v>Colts dry in bag</v>
      </c>
      <c r="B117" s="65">
        <f t="shared" si="216"/>
        <v>11.214473340342236</v>
      </c>
      <c r="C117" s="65">
        <f t="shared" si="221"/>
        <v>0.54442505358295712</v>
      </c>
      <c r="D117" s="65">
        <f t="shared" si="222"/>
        <v>3.7200000000000006</v>
      </c>
      <c r="E117" s="134">
        <f>+main!$C$121</f>
        <v>1.3293650793650715E-3</v>
      </c>
      <c r="F117" s="65"/>
      <c r="G117" s="2"/>
      <c r="H117" s="2"/>
      <c r="I117" s="124">
        <f>+I111</f>
        <v>13.249999999999998</v>
      </c>
      <c r="J117" s="65">
        <f t="shared" si="217"/>
        <v>11.698602827052888</v>
      </c>
      <c r="K117" s="65">
        <f t="shared" si="196"/>
        <v>11.411621740050368</v>
      </c>
      <c r="L117" s="65">
        <f t="shared" si="218"/>
        <v>3.5618279569892461</v>
      </c>
      <c r="M117" s="65">
        <f t="shared" si="212"/>
        <v>3</v>
      </c>
      <c r="N117" s="94">
        <f t="shared" si="213"/>
        <v>0.3437757659205456</v>
      </c>
      <c r="O117" s="65">
        <f t="shared" si="214"/>
        <v>9.0241138554142619E-2</v>
      </c>
      <c r="P117" s="94">
        <f t="shared" si="219"/>
        <v>0.39447576043080301</v>
      </c>
    </row>
    <row r="118" spans="1:16" x14ac:dyDescent="0.35">
      <c r="A118" s="2" t="str">
        <f t="shared" si="220"/>
        <v>Colts dry in bag</v>
      </c>
      <c r="B118" s="65">
        <f t="shared" si="216"/>
        <v>11.214473340342236</v>
      </c>
      <c r="C118" s="65">
        <f t="shared" si="221"/>
        <v>0.54442505358295712</v>
      </c>
      <c r="D118" s="65">
        <f t="shared" si="222"/>
        <v>3.7200000000000006</v>
      </c>
      <c r="E118" s="134">
        <f>+main!$C$121</f>
        <v>1.3293650793650715E-3</v>
      </c>
      <c r="F118" s="65"/>
      <c r="G118" s="2"/>
      <c r="H118" s="2"/>
      <c r="I118" s="124"/>
      <c r="J118" s="65"/>
      <c r="K118" s="65">
        <f t="shared" si="196"/>
        <v>11.214473340342236</v>
      </c>
      <c r="L118" s="65"/>
      <c r="M118" s="65"/>
      <c r="N118" s="94"/>
      <c r="O118" s="65"/>
      <c r="P118" s="94"/>
    </row>
    <row r="119" spans="1:16" x14ac:dyDescent="0.35">
      <c r="A119" s="2" t="str">
        <f t="shared" si="220"/>
        <v>Colts dry in bag</v>
      </c>
      <c r="B119" s="65">
        <f t="shared" si="216"/>
        <v>11.214473340342236</v>
      </c>
      <c r="C119" s="65">
        <f t="shared" si="221"/>
        <v>0.54442505358295712</v>
      </c>
      <c r="D119" s="65">
        <f t="shared" si="222"/>
        <v>3.7200000000000006</v>
      </c>
      <c r="E119" s="134">
        <f>+main!$C$121</f>
        <v>1.3293650793650715E-3</v>
      </c>
      <c r="F119" s="65"/>
      <c r="G119" s="2"/>
      <c r="H119" s="2"/>
      <c r="I119" s="124"/>
      <c r="J119" s="65"/>
      <c r="K119" s="65">
        <f t="shared" si="196"/>
        <v>11.214473340342236</v>
      </c>
      <c r="L119" s="65"/>
      <c r="M119" s="65"/>
      <c r="N119" s="94"/>
      <c r="O119" s="65"/>
      <c r="P119" s="94"/>
    </row>
    <row r="120" spans="1:16" x14ac:dyDescent="0.35">
      <c r="A120" s="2" t="s">
        <v>808</v>
      </c>
      <c r="B120" s="65">
        <f>+$B$6</f>
        <v>11.130769636638533</v>
      </c>
      <c r="C120" s="65">
        <f t="shared" si="221"/>
        <v>0.54442505358295712</v>
      </c>
      <c r="D120" s="65">
        <f t="shared" si="222"/>
        <v>3.7200000000000006</v>
      </c>
      <c r="E120" s="134">
        <f>+main!$C$121</f>
        <v>1.3293650793650715E-3</v>
      </c>
      <c r="F120" s="65"/>
      <c r="G120" s="2"/>
      <c r="H120" s="2"/>
      <c r="I120" s="124">
        <v>0</v>
      </c>
      <c r="J120" s="65">
        <f t="shared" ref="J120:J125" si="223">+K120*1.05-0.2836</f>
        <v>11.40370811847046</v>
      </c>
      <c r="K120" s="65">
        <f t="shared" si="196"/>
        <v>11.130769636638533</v>
      </c>
      <c r="L120" s="65">
        <f t="shared" ref="L120:L125" si="224">+I120/D120</f>
        <v>0</v>
      </c>
      <c r="M120" s="65">
        <f t="shared" ref="M120:M125" si="225">+(VLOOKUP(L120,TcrvCW,1))</f>
        <v>0</v>
      </c>
      <c r="N120" s="94">
        <f t="shared" ref="N120:N125" si="226">+(VLOOKUP(L120,TcrvCW,2))</f>
        <v>0</v>
      </c>
      <c r="O120" s="65">
        <f t="shared" ref="O120:O125" si="227">+(VLOOKUP(L120,TcrvCW,3))</f>
        <v>9.1054212324746031E-2</v>
      </c>
      <c r="P120" s="94">
        <f t="shared" ref="P120:P125" si="228">+N120+O120*(L120-M120)</f>
        <v>0</v>
      </c>
    </row>
    <row r="121" spans="1:16" x14ac:dyDescent="0.35">
      <c r="A121" s="2" t="str">
        <f>+A120</f>
        <v>Colts wet in bag</v>
      </c>
      <c r="B121" s="65">
        <f t="shared" ref="B121:B125" si="229">+$B$6</f>
        <v>11.130769636638533</v>
      </c>
      <c r="C121" s="65">
        <f t="shared" si="221"/>
        <v>0.54442505358295712</v>
      </c>
      <c r="D121" s="65">
        <f>+$D$112</f>
        <v>3.7200000000000006</v>
      </c>
      <c r="E121" s="134">
        <f>+main!$C$121</f>
        <v>1.3293650793650715E-3</v>
      </c>
      <c r="F121" s="65"/>
      <c r="G121" s="2"/>
      <c r="H121" s="2"/>
      <c r="I121" s="124">
        <v>3</v>
      </c>
      <c r="J121" s="65">
        <f t="shared" si="223"/>
        <v>11.441497073426143</v>
      </c>
      <c r="K121" s="65">
        <f t="shared" si="196"/>
        <v>11.166759117548708</v>
      </c>
      <c r="L121" s="65">
        <f t="shared" si="224"/>
        <v>0.80645161290322565</v>
      </c>
      <c r="M121" s="65">
        <f t="shared" si="225"/>
        <v>0</v>
      </c>
      <c r="N121" s="94">
        <f t="shared" si="226"/>
        <v>0</v>
      </c>
      <c r="O121" s="65">
        <f t="shared" si="227"/>
        <v>9.1054212324746031E-2</v>
      </c>
      <c r="P121" s="94">
        <f t="shared" si="228"/>
        <v>7.3430816390924206E-2</v>
      </c>
    </row>
    <row r="122" spans="1:16" x14ac:dyDescent="0.35">
      <c r="A122" s="2" t="str">
        <f t="shared" ref="A122:A125" si="230">+A121</f>
        <v>Colts wet in bag</v>
      </c>
      <c r="B122" s="65">
        <f t="shared" si="229"/>
        <v>11.130769636638533</v>
      </c>
      <c r="C122" s="65">
        <f t="shared" si="221"/>
        <v>0.54442505358295712</v>
      </c>
      <c r="D122" s="65">
        <f t="shared" ref="D122:D125" si="231">+$D$112</f>
        <v>3.7200000000000006</v>
      </c>
      <c r="E122" s="134">
        <f>+main!$C$121</f>
        <v>1.3293650793650715E-3</v>
      </c>
      <c r="F122" s="65"/>
      <c r="G122" s="2"/>
      <c r="H122" s="2"/>
      <c r="I122" s="124">
        <v>6</v>
      </c>
      <c r="J122" s="65">
        <f t="shared" si="223"/>
        <v>11.479286028381825</v>
      </c>
      <c r="K122" s="65">
        <f t="shared" si="196"/>
        <v>11.20274859845888</v>
      </c>
      <c r="L122" s="65">
        <f t="shared" si="224"/>
        <v>1.6129032258064513</v>
      </c>
      <c r="M122" s="65">
        <f t="shared" si="225"/>
        <v>0</v>
      </c>
      <c r="N122" s="94">
        <f t="shared" si="226"/>
        <v>0</v>
      </c>
      <c r="O122" s="65">
        <f t="shared" si="227"/>
        <v>9.1054212324746031E-2</v>
      </c>
      <c r="P122" s="94">
        <f t="shared" si="228"/>
        <v>0.14686163278184841</v>
      </c>
    </row>
    <row r="123" spans="1:16" x14ac:dyDescent="0.35">
      <c r="A123" s="2" t="str">
        <f t="shared" si="230"/>
        <v>Colts wet in bag</v>
      </c>
      <c r="B123" s="65">
        <f t="shared" si="229"/>
        <v>11.130769636638533</v>
      </c>
      <c r="C123" s="65">
        <f t="shared" si="221"/>
        <v>0.54442505358295712</v>
      </c>
      <c r="D123" s="65">
        <f t="shared" si="231"/>
        <v>3.7200000000000006</v>
      </c>
      <c r="E123" s="134">
        <f>+main!$C$121</f>
        <v>1.3293650793650715E-3</v>
      </c>
      <c r="F123" s="65"/>
      <c r="G123" s="2"/>
      <c r="H123" s="2"/>
      <c r="I123" s="124">
        <v>9</v>
      </c>
      <c r="J123" s="65">
        <f t="shared" si="223"/>
        <v>11.517074983337508</v>
      </c>
      <c r="K123" s="65">
        <f t="shared" si="196"/>
        <v>11.238738079369055</v>
      </c>
      <c r="L123" s="65">
        <f t="shared" si="224"/>
        <v>2.419354838709677</v>
      </c>
      <c r="M123" s="65">
        <f t="shared" si="225"/>
        <v>0</v>
      </c>
      <c r="N123" s="94">
        <f t="shared" si="226"/>
        <v>0</v>
      </c>
      <c r="O123" s="65">
        <f t="shared" si="227"/>
        <v>9.1054212324746031E-2</v>
      </c>
      <c r="P123" s="94">
        <f t="shared" si="228"/>
        <v>0.22029244917277263</v>
      </c>
    </row>
    <row r="124" spans="1:16" x14ac:dyDescent="0.35">
      <c r="A124" s="2" t="str">
        <f t="shared" si="230"/>
        <v>Colts wet in bag</v>
      </c>
      <c r="B124" s="65">
        <f t="shared" si="229"/>
        <v>11.130769636638533</v>
      </c>
      <c r="C124" s="65">
        <f t="shared" si="221"/>
        <v>0.54442505358295712</v>
      </c>
      <c r="D124" s="65">
        <f t="shared" si="231"/>
        <v>3.7200000000000006</v>
      </c>
      <c r="E124" s="134">
        <f>+main!$C$121</f>
        <v>1.3293650793650715E-3</v>
      </c>
      <c r="F124" s="65"/>
      <c r="G124" s="2"/>
      <c r="H124" s="2"/>
      <c r="I124" s="124">
        <v>12</v>
      </c>
      <c r="J124" s="65">
        <f t="shared" si="223"/>
        <v>11.551782948007125</v>
      </c>
      <c r="K124" s="65">
        <f t="shared" si="196"/>
        <v>11.271793283816308</v>
      </c>
      <c r="L124" s="65">
        <f t="shared" si="224"/>
        <v>3.2258064516129026</v>
      </c>
      <c r="M124" s="65">
        <f t="shared" si="225"/>
        <v>3</v>
      </c>
      <c r="N124" s="94">
        <f t="shared" si="226"/>
        <v>0.27316263697423809</v>
      </c>
      <c r="O124" s="65">
        <f t="shared" si="227"/>
        <v>6.718563239495863E-2</v>
      </c>
      <c r="P124" s="94">
        <f t="shared" si="228"/>
        <v>0.28833358622471256</v>
      </c>
    </row>
    <row r="125" spans="1:16" x14ac:dyDescent="0.35">
      <c r="A125" s="2" t="str">
        <f t="shared" si="230"/>
        <v>Colts wet in bag</v>
      </c>
      <c r="B125" s="65">
        <f t="shared" si="229"/>
        <v>11.130769636638533</v>
      </c>
      <c r="C125" s="65">
        <f t="shared" si="221"/>
        <v>0.54442505358295712</v>
      </c>
      <c r="D125" s="65">
        <f t="shared" si="231"/>
        <v>3.7200000000000006</v>
      </c>
      <c r="E125" s="134">
        <f>+main!$C$121</f>
        <v>1.3293650793650715E-3</v>
      </c>
      <c r="F125" s="65"/>
      <c r="G125" s="2"/>
      <c r="H125" s="2"/>
      <c r="I125" s="124">
        <f>+I111</f>
        <v>13.249999999999998</v>
      </c>
      <c r="J125" s="65">
        <f t="shared" si="223"/>
        <v>11.562943538932011</v>
      </c>
      <c r="K125" s="65">
        <f t="shared" si="196"/>
        <v>11.282422418030485</v>
      </c>
      <c r="L125" s="65">
        <f t="shared" si="224"/>
        <v>3.5618279569892461</v>
      </c>
      <c r="M125" s="65">
        <f t="shared" si="225"/>
        <v>3</v>
      </c>
      <c r="N125" s="94">
        <f t="shared" si="226"/>
        <v>0.27316263697423809</v>
      </c>
      <c r="O125" s="65">
        <f t="shared" si="227"/>
        <v>6.718563239495863E-2</v>
      </c>
      <c r="P125" s="94">
        <f t="shared" si="228"/>
        <v>0.31090940356172819</v>
      </c>
    </row>
    <row r="126" spans="1:16" x14ac:dyDescent="0.35">
      <c r="A126" s="2" t="s">
        <v>99</v>
      </c>
      <c r="B126" s="65">
        <f>+B$7</f>
        <v>11.214473340342236</v>
      </c>
      <c r="C126" s="65">
        <f>+C$7</f>
        <v>1.4475303393839845</v>
      </c>
      <c r="D126" s="65">
        <v>1</v>
      </c>
      <c r="E126" s="65"/>
      <c r="F126" s="65"/>
      <c r="G126" s="2"/>
      <c r="H126" s="2"/>
      <c r="I126" s="65"/>
      <c r="J126" s="65">
        <f t="shared" si="166"/>
        <v>11.491597007359349</v>
      </c>
      <c r="K126" s="65">
        <f t="shared" si="196"/>
        <v>11.214473340342236</v>
      </c>
      <c r="L126" s="65">
        <f t="shared" ref="L126" si="232">+I126/D126</f>
        <v>0</v>
      </c>
      <c r="M126" s="65">
        <f t="shared" ref="M126:M133" si="233">+(VLOOKUP(L126,TcrvCD,1))</f>
        <v>0</v>
      </c>
      <c r="N126" s="94">
        <f t="shared" ref="N126:N133" si="234">+(VLOOKUP(L126,TcrvCD,2))</f>
        <v>0</v>
      </c>
      <c r="O126" s="65">
        <f t="shared" ref="O126:O133" si="235">+(VLOOKUP(L126,TcrvCD,3))</f>
        <v>0.1145919219735152</v>
      </c>
      <c r="P126" s="94">
        <f t="shared" ref="P126" si="236">+N126+O126*(L126-M126)</f>
        <v>0</v>
      </c>
    </row>
    <row r="127" spans="1:16" x14ac:dyDescent="0.35">
      <c r="A127" s="2" t="str">
        <f>+A126</f>
        <v>Colts dry</v>
      </c>
      <c r="B127" s="65">
        <f t="shared" ref="B127:C129" si="237">+B$7</f>
        <v>11.214473340342236</v>
      </c>
      <c r="C127" s="65">
        <f t="shared" si="237"/>
        <v>1.4475303393839845</v>
      </c>
      <c r="D127" s="65">
        <v>1</v>
      </c>
      <c r="E127" s="65"/>
      <c r="F127" s="65"/>
      <c r="G127" s="2"/>
      <c r="H127" s="2"/>
      <c r="I127" s="65">
        <v>3</v>
      </c>
      <c r="J127" s="65">
        <f t="shared" si="166"/>
        <v>12.014104151030054</v>
      </c>
      <c r="K127" s="65">
        <f t="shared" si="196"/>
        <v>11.712099191457193</v>
      </c>
      <c r="L127" s="65">
        <f t="shared" ref="L127:L129" si="238">+I127/D127</f>
        <v>3</v>
      </c>
      <c r="M127" s="65">
        <f t="shared" si="233"/>
        <v>3</v>
      </c>
      <c r="N127" s="94">
        <f t="shared" si="234"/>
        <v>0.3437757659205456</v>
      </c>
      <c r="O127" s="65">
        <f t="shared" si="235"/>
        <v>9.0241138554142619E-2</v>
      </c>
      <c r="P127" s="94">
        <f t="shared" ref="P127:P129" si="239">+N127+O127*(L127-M127)</f>
        <v>0.3437757659205456</v>
      </c>
    </row>
    <row r="128" spans="1:16" x14ac:dyDescent="0.35">
      <c r="A128" s="2" t="str">
        <f t="shared" ref="A128:A133" si="240">+A127</f>
        <v>Colts dry</v>
      </c>
      <c r="B128" s="65">
        <f t="shared" si="237"/>
        <v>11.214473340342236</v>
      </c>
      <c r="C128" s="65">
        <f t="shared" si="237"/>
        <v>1.4475303393839845</v>
      </c>
      <c r="D128" s="65">
        <v>1</v>
      </c>
      <c r="E128" s="65"/>
      <c r="F128" s="65"/>
      <c r="G128" s="2"/>
      <c r="H128" s="2"/>
      <c r="I128" s="65">
        <v>6</v>
      </c>
      <c r="J128" s="65">
        <f t="shared" si="166"/>
        <v>12.42557852667073</v>
      </c>
      <c r="K128" s="65">
        <f t="shared" si="196"/>
        <v>12.103979549210218</v>
      </c>
      <c r="L128" s="65">
        <f t="shared" si="238"/>
        <v>6</v>
      </c>
      <c r="M128" s="65">
        <f t="shared" si="233"/>
        <v>6</v>
      </c>
      <c r="N128" s="94">
        <f t="shared" si="234"/>
        <v>0.61449918158297345</v>
      </c>
      <c r="O128" s="65">
        <f t="shared" si="235"/>
        <v>5.1566364888082084E-2</v>
      </c>
      <c r="P128" s="94">
        <f t="shared" si="239"/>
        <v>0.61449918158297345</v>
      </c>
    </row>
    <row r="129" spans="1:16" x14ac:dyDescent="0.35">
      <c r="A129" s="2" t="str">
        <f t="shared" si="240"/>
        <v>Colts dry</v>
      </c>
      <c r="B129" s="65">
        <f t="shared" si="237"/>
        <v>11.214473340342236</v>
      </c>
      <c r="C129" s="65">
        <f t="shared" si="237"/>
        <v>1.4475303393839845</v>
      </c>
      <c r="D129" s="65">
        <v>1</v>
      </c>
      <c r="E129" s="65"/>
      <c r="F129" s="65"/>
      <c r="G129" s="2"/>
      <c r="H129" s="2"/>
      <c r="I129" s="65">
        <v>9</v>
      </c>
      <c r="J129" s="65">
        <f t="shared" si="166"/>
        <v>12.660706741322548</v>
      </c>
      <c r="K129" s="65">
        <f t="shared" si="196"/>
        <v>12.327911182211949</v>
      </c>
      <c r="L129" s="65">
        <f t="shared" si="238"/>
        <v>9</v>
      </c>
      <c r="M129" s="65">
        <f t="shared" si="233"/>
        <v>9</v>
      </c>
      <c r="N129" s="94">
        <f t="shared" si="234"/>
        <v>0.7691982762472197</v>
      </c>
      <c r="O129" s="65">
        <f t="shared" si="235"/>
        <v>2.7215581468709987E-2</v>
      </c>
      <c r="P129" s="94">
        <f t="shared" si="239"/>
        <v>0.7691982762472197</v>
      </c>
    </row>
    <row r="130" spans="1:16" x14ac:dyDescent="0.35">
      <c r="A130" s="2" t="str">
        <f t="shared" si="240"/>
        <v>Colts dry</v>
      </c>
      <c r="B130" s="65">
        <f>+B126</f>
        <v>11.214473340342236</v>
      </c>
      <c r="C130" s="65">
        <f>+C126</f>
        <v>1.4475303393839845</v>
      </c>
      <c r="D130" s="65">
        <v>1</v>
      </c>
      <c r="E130" s="65"/>
      <c r="F130" s="65">
        <f t="shared" ref="F130:F133" si="241">+G130-J130</f>
        <v>-9.1880635761912188E-2</v>
      </c>
      <c r="G130" s="2">
        <v>12.7</v>
      </c>
      <c r="H130" s="2"/>
      <c r="I130" s="124">
        <f>+main!C88</f>
        <v>12.2501</v>
      </c>
      <c r="J130" s="65">
        <f t="shared" si="166"/>
        <v>12.791880635761911</v>
      </c>
      <c r="K130" s="65">
        <f t="shared" si="196"/>
        <v>12.452838700725628</v>
      </c>
      <c r="L130" s="65">
        <f t="shared" ref="L130:L133" si="242">+I130/D130</f>
        <v>12.2501</v>
      </c>
      <c r="M130" s="65">
        <f t="shared" si="233"/>
        <v>12</v>
      </c>
      <c r="N130" s="94">
        <f t="shared" si="234"/>
        <v>0.85084502065334966</v>
      </c>
      <c r="O130" s="65">
        <f t="shared" si="235"/>
        <v>1.8621187320696359E-2</v>
      </c>
      <c r="P130" s="94">
        <f t="shared" ref="P130:P133" si="243">+N130+O130*(L130-M130)</f>
        <v>0.85550217960225583</v>
      </c>
    </row>
    <row r="131" spans="1:16" x14ac:dyDescent="0.35">
      <c r="A131" s="2" t="str">
        <f t="shared" si="240"/>
        <v>Colts dry</v>
      </c>
      <c r="B131" s="65">
        <f t="shared" ref="B131:B133" si="244">+B130</f>
        <v>11.214473340342236</v>
      </c>
      <c r="C131" s="65">
        <f t="shared" ref="C131:C133" si="245">+C130</f>
        <v>1.4475303393839845</v>
      </c>
      <c r="D131" s="65">
        <v>1</v>
      </c>
      <c r="E131" s="65"/>
      <c r="F131" s="65">
        <f t="shared" si="241"/>
        <v>-5.13138491069558E-2</v>
      </c>
      <c r="G131" s="2">
        <v>12.75</v>
      </c>
      <c r="H131" s="2"/>
      <c r="I131" s="124">
        <f>+main!C89</f>
        <v>12.583399999999999</v>
      </c>
      <c r="J131" s="65">
        <f t="shared" si="166"/>
        <v>12.801313849106956</v>
      </c>
      <c r="K131" s="65">
        <f t="shared" si="196"/>
        <v>12.461822713435195</v>
      </c>
      <c r="L131" s="65">
        <f t="shared" si="242"/>
        <v>12.583399999999999</v>
      </c>
      <c r="M131" s="65">
        <f t="shared" si="233"/>
        <v>12</v>
      </c>
      <c r="N131" s="94">
        <f t="shared" si="234"/>
        <v>0.85084502065334966</v>
      </c>
      <c r="O131" s="65">
        <f t="shared" si="235"/>
        <v>1.8621187320696359E-2</v>
      </c>
      <c r="P131" s="94">
        <f t="shared" si="243"/>
        <v>0.86170862133624393</v>
      </c>
    </row>
    <row r="132" spans="1:16" x14ac:dyDescent="0.35">
      <c r="A132" s="2" t="str">
        <f t="shared" si="240"/>
        <v>Colts dry</v>
      </c>
      <c r="B132" s="65">
        <f t="shared" si="244"/>
        <v>11.214473340342236</v>
      </c>
      <c r="C132" s="65">
        <f t="shared" si="245"/>
        <v>1.4475303393839845</v>
      </c>
      <c r="D132" s="65">
        <v>1</v>
      </c>
      <c r="E132" s="65"/>
      <c r="F132" s="65">
        <f t="shared" si="241"/>
        <v>0.13925293754799917</v>
      </c>
      <c r="G132" s="2">
        <v>12.95</v>
      </c>
      <c r="H132" s="2"/>
      <c r="I132" s="124">
        <f>+main!C90</f>
        <v>12.916699999999999</v>
      </c>
      <c r="J132" s="65">
        <f t="shared" si="166"/>
        <v>12.810747062452</v>
      </c>
      <c r="K132" s="65">
        <f t="shared" si="196"/>
        <v>12.470806726144762</v>
      </c>
      <c r="L132" s="65">
        <f t="shared" si="242"/>
        <v>12.916699999999999</v>
      </c>
      <c r="M132" s="65">
        <f t="shared" si="233"/>
        <v>12</v>
      </c>
      <c r="N132" s="94">
        <f t="shared" si="234"/>
        <v>0.85084502065334966</v>
      </c>
      <c r="O132" s="65">
        <f t="shared" si="235"/>
        <v>1.8621187320696359E-2</v>
      </c>
      <c r="P132" s="94">
        <f t="shared" si="243"/>
        <v>0.86791506307023203</v>
      </c>
    </row>
    <row r="133" spans="1:16" x14ac:dyDescent="0.35">
      <c r="A133" s="2" t="str">
        <f t="shared" si="240"/>
        <v>Colts dry</v>
      </c>
      <c r="B133" s="65">
        <f t="shared" si="244"/>
        <v>11.214473340342236</v>
      </c>
      <c r="C133" s="65">
        <f t="shared" si="245"/>
        <v>1.4475303393839845</v>
      </c>
      <c r="D133" s="65">
        <v>1</v>
      </c>
      <c r="E133" s="65"/>
      <c r="F133" s="65">
        <f t="shared" si="241"/>
        <v>-0.27018027579704551</v>
      </c>
      <c r="G133" s="2">
        <v>12.55</v>
      </c>
      <c r="H133" s="2"/>
      <c r="I133" s="124">
        <f>+main!C91</f>
        <v>13.249999999999998</v>
      </c>
      <c r="J133" s="65">
        <f t="shared" si="166"/>
        <v>12.820180275797046</v>
      </c>
      <c r="K133" s="65">
        <f t="shared" si="196"/>
        <v>12.479790738854328</v>
      </c>
      <c r="L133" s="65">
        <f t="shared" si="242"/>
        <v>13.249999999999998</v>
      </c>
      <c r="M133" s="65">
        <f t="shared" si="233"/>
        <v>12</v>
      </c>
      <c r="N133" s="94">
        <f t="shared" si="234"/>
        <v>0.85084502065334966</v>
      </c>
      <c r="O133" s="65">
        <f t="shared" si="235"/>
        <v>1.8621187320696359E-2</v>
      </c>
      <c r="P133" s="94">
        <f t="shared" si="243"/>
        <v>0.87412150480422013</v>
      </c>
    </row>
    <row r="134" spans="1:16" x14ac:dyDescent="0.35">
      <c r="A134" s="2" t="s">
        <v>481</v>
      </c>
      <c r="B134" s="65"/>
      <c r="C134" s="65"/>
      <c r="D134" s="65"/>
      <c r="E134" s="65"/>
      <c r="F134" s="65"/>
      <c r="G134" s="2"/>
      <c r="H134" s="2"/>
      <c r="I134" s="65"/>
      <c r="J134" s="65"/>
      <c r="K134" s="65">
        <f t="shared" si="196"/>
        <v>0</v>
      </c>
      <c r="L134" s="65"/>
      <c r="M134" s="65"/>
      <c r="N134" s="94"/>
      <c r="O134" s="65"/>
      <c r="P134" s="94"/>
    </row>
    <row r="135" spans="1:16" x14ac:dyDescent="0.35">
      <c r="A135" s="2" t="s">
        <v>811</v>
      </c>
      <c r="B135" s="65">
        <f>+main!$D$143</f>
        <v>10.750430177495062</v>
      </c>
      <c r="C135" s="65">
        <f>+main!D147</f>
        <v>1.363471017148951</v>
      </c>
      <c r="D135" s="65">
        <v>1</v>
      </c>
      <c r="E135" s="65"/>
      <c r="F135" s="65"/>
      <c r="G135" s="2"/>
      <c r="H135" s="2"/>
      <c r="I135" s="65">
        <f>+tline!B35</f>
        <v>19.166666666666668</v>
      </c>
      <c r="J135" s="65">
        <f t="shared" si="166"/>
        <v>12.005102553929792</v>
      </c>
      <c r="K135" s="65">
        <f t="shared" si="196"/>
        <v>11.703526241837896</v>
      </c>
      <c r="L135" s="65">
        <f t="shared" ref="L135:L136" si="246">+I135/D135</f>
        <v>19.166666666666668</v>
      </c>
      <c r="M135" s="65">
        <f>+(VLOOKUP(L135,TCrv,1))</f>
        <v>12</v>
      </c>
      <c r="N135" s="94">
        <f>+(VLOOKUP(L135,TCrv,2))</f>
        <v>0.6521468167654203</v>
      </c>
      <c r="O135" s="65">
        <f>+(VLOOKUP(L135,TCrv,3))</f>
        <v>6.5407055368803761E-3</v>
      </c>
      <c r="P135" s="94">
        <f t="shared" ref="P135:P136" si="247">+N135+O135*(L135-M135)</f>
        <v>0.69902187311306296</v>
      </c>
    </row>
    <row r="136" spans="1:16" x14ac:dyDescent="0.35">
      <c r="A136" s="2" t="s">
        <v>811</v>
      </c>
      <c r="B136" s="65">
        <f>+B135</f>
        <v>10.750430177495062</v>
      </c>
      <c r="C136" s="65">
        <f>+$C$135</f>
        <v>1.363471017148951</v>
      </c>
      <c r="D136" s="65">
        <v>1</v>
      </c>
      <c r="E136" s="65"/>
      <c r="F136" s="65"/>
      <c r="G136" s="2"/>
      <c r="H136" s="2"/>
      <c r="I136" s="65">
        <f>+provRef!B116</f>
        <v>4</v>
      </c>
      <c r="J136" s="65">
        <f t="shared" si="166"/>
        <v>11.500091039165328</v>
      </c>
      <c r="K136" s="65">
        <f t="shared" si="196"/>
        <v>11.222562894443168</v>
      </c>
      <c r="L136" s="65">
        <f t="shared" si="246"/>
        <v>4</v>
      </c>
      <c r="M136" s="65">
        <f>+(VLOOKUP(L136,TCrv,1))</f>
        <v>3</v>
      </c>
      <c r="N136" s="94">
        <f>+(VLOOKUP(L136,TCrv,2))</f>
        <v>0.28134652493198486</v>
      </c>
      <c r="O136" s="65">
        <f>+(VLOOKUP(L136,TCrv,3))</f>
        <v>6.4926121138150161E-2</v>
      </c>
      <c r="P136" s="94">
        <f t="shared" si="247"/>
        <v>0.34627264607013503</v>
      </c>
    </row>
    <row r="137" spans="1:16" x14ac:dyDescent="0.35">
      <c r="A137" s="2" t="s">
        <v>811</v>
      </c>
      <c r="B137" s="65">
        <f>+B135</f>
        <v>10.750430177495062</v>
      </c>
      <c r="C137" s="65">
        <f>+C135</f>
        <v>1.363471017148951</v>
      </c>
      <c r="D137" s="65">
        <v>1</v>
      </c>
      <c r="E137" s="65"/>
      <c r="F137" s="65"/>
      <c r="G137" s="2"/>
      <c r="H137" s="2"/>
      <c r="I137" s="65">
        <f>+provRef!B117</f>
        <v>8.75</v>
      </c>
      <c r="J137" s="65">
        <f t="shared" ref="J137" si="248">+K137*1.05-0.2836</f>
        <v>11.837469209817828</v>
      </c>
      <c r="K137" s="65">
        <f t="shared" si="196"/>
        <v>11.54387543792174</v>
      </c>
      <c r="L137" s="65">
        <f t="shared" ref="L137" si="249">+I137/D137</f>
        <v>8.75</v>
      </c>
      <c r="M137" s="65">
        <f>+(VLOOKUP(L137,TCrv,1))</f>
        <v>6</v>
      </c>
      <c r="N137" s="94">
        <f>+(VLOOKUP(L137,TCrv,2))</f>
        <v>0.47612488834643535</v>
      </c>
      <c r="O137" s="65">
        <f>+(VLOOKUP(L137,TCrv,3))</f>
        <v>3.8474738452237235E-2</v>
      </c>
      <c r="P137" s="94">
        <f t="shared" ref="P137" si="250">+N137+O137*(L137-M137)</f>
        <v>0.5819304190900878</v>
      </c>
    </row>
    <row r="138" spans="1:16" x14ac:dyDescent="0.35">
      <c r="A138" s="2" t="s">
        <v>811</v>
      </c>
      <c r="B138" s="65">
        <f>+B137</f>
        <v>10.750430177495062</v>
      </c>
      <c r="C138" s="65">
        <f>+C137</f>
        <v>1.363471017148951</v>
      </c>
      <c r="D138" s="65">
        <v>1</v>
      </c>
      <c r="E138" s="65"/>
      <c r="F138" s="65"/>
      <c r="G138" s="2"/>
      <c r="H138" s="2"/>
      <c r="I138" s="65">
        <f>+provRef!B118</f>
        <v>15</v>
      </c>
      <c r="J138" s="65">
        <f t="shared" ref="J138:J139" si="251">+K138*1.05-0.2836</f>
        <v>11.966086030793106</v>
      </c>
      <c r="K138" s="65">
        <f t="shared" si="196"/>
        <v>11.666367648374386</v>
      </c>
      <c r="L138" s="65">
        <f t="shared" ref="L138:L139" si="252">+I138/D138</f>
        <v>15</v>
      </c>
      <c r="M138" s="65">
        <f>+(VLOOKUP(L138,TCrv,1))</f>
        <v>12</v>
      </c>
      <c r="N138" s="94">
        <f>+(VLOOKUP(L138,TCrv,2))</f>
        <v>0.6521468167654203</v>
      </c>
      <c r="O138" s="65">
        <f>+(VLOOKUP(L138,TCrv,3))</f>
        <v>6.5407055368803761E-3</v>
      </c>
      <c r="P138" s="94">
        <f t="shared" ref="P138:P139" si="253">+N138+O138*(L138-M138)</f>
        <v>0.67176893337606147</v>
      </c>
    </row>
    <row r="139" spans="1:16" x14ac:dyDescent="0.35">
      <c r="A139" s="2" t="s">
        <v>811</v>
      </c>
      <c r="B139" s="65">
        <f>+B137</f>
        <v>10.750430177495062</v>
      </c>
      <c r="C139" s="65">
        <f>+C137</f>
        <v>1.363471017148951</v>
      </c>
      <c r="D139" s="65">
        <v>1</v>
      </c>
      <c r="E139" s="65"/>
      <c r="F139" s="65"/>
      <c r="G139" s="2"/>
      <c r="H139" s="2"/>
      <c r="I139" s="65">
        <f>+provRef!B115</f>
        <v>15</v>
      </c>
      <c r="J139" s="65">
        <f t="shared" si="251"/>
        <v>11.966086030793106</v>
      </c>
      <c r="K139" s="65">
        <f t="shared" si="196"/>
        <v>11.666367648374386</v>
      </c>
      <c r="L139" s="65">
        <f t="shared" si="252"/>
        <v>15</v>
      </c>
      <c r="M139" s="65">
        <f>+(VLOOKUP(L139,TCrv,1))</f>
        <v>12</v>
      </c>
      <c r="N139" s="94">
        <f>+(VLOOKUP(L139,TCrv,2))</f>
        <v>0.6521468167654203</v>
      </c>
      <c r="O139" s="65">
        <f>+(VLOOKUP(L139,TCrv,3))</f>
        <v>6.5407055368803761E-3</v>
      </c>
      <c r="P139" s="94">
        <f t="shared" si="253"/>
        <v>0.67176893337606147</v>
      </c>
    </row>
  </sheetData>
  <hyperlinks>
    <hyperlink ref="M1" location="bk_Crv_P_wet" display="Link to time curve tables, Patriot wet example"/>
  </hyperlink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86"/>
  <sheetViews>
    <sheetView workbookViewId="0">
      <selection activeCell="O30" sqref="O30"/>
    </sheetView>
  </sheetViews>
  <sheetFormatPr defaultRowHeight="14.5" x14ac:dyDescent="0.35"/>
  <cols>
    <col min="2" max="2" width="28.7265625" style="55" customWidth="1"/>
    <col min="3" max="3" width="13.81640625" customWidth="1"/>
    <col min="5" max="5" width="31" customWidth="1"/>
    <col min="6" max="6" width="11.6328125" customWidth="1"/>
    <col min="7" max="7" width="16.81640625" customWidth="1"/>
    <col min="8" max="8" width="11.90625" customWidth="1"/>
    <col min="10" max="10" width="15.26953125" customWidth="1"/>
    <col min="12" max="12" width="12.7265625" customWidth="1"/>
    <col min="13" max="13" width="10.90625" customWidth="1"/>
    <col min="16" max="16" width="12" customWidth="1"/>
    <col min="18" max="19" width="13.1796875" customWidth="1"/>
    <col min="21" max="21" width="12.7265625" customWidth="1"/>
    <col min="26" max="26" width="20.90625" customWidth="1"/>
    <col min="27" max="27" width="15.453125" customWidth="1"/>
    <col min="30" max="30" width="23.1796875" customWidth="1"/>
  </cols>
  <sheetData>
    <row r="3" spans="1:40" s="33" customFormat="1" ht="21" x14ac:dyDescent="0.5">
      <c r="A3" s="192" t="s">
        <v>961</v>
      </c>
      <c r="B3" s="176" t="s">
        <v>939</v>
      </c>
      <c r="C3" s="34"/>
      <c r="D3" s="35"/>
      <c r="E3" s="35"/>
      <c r="AJ3" s="42"/>
    </row>
    <row r="4" spans="1:40" x14ac:dyDescent="0.35">
      <c r="A4" s="154" t="str">
        <f>+main!A1</f>
        <v>Row</v>
      </c>
      <c r="B4" s="154" t="str">
        <f>+main!B1</f>
        <v>Item</v>
      </c>
      <c r="C4" s="154" t="str">
        <f>+main!C1</f>
        <v>Value</v>
      </c>
      <c r="D4" s="154" t="str">
        <f>+main!D1</f>
        <v>Units</v>
      </c>
      <c r="E4" s="154" t="str">
        <f>+main!E1</f>
        <v>Source</v>
      </c>
      <c r="AI4" s="1"/>
    </row>
    <row r="5" spans="1:40" ht="29" x14ac:dyDescent="0.35">
      <c r="A5" s="5" t="str">
        <f>+alph!B2</f>
        <v>Gas_A</v>
      </c>
      <c r="B5" s="5" t="s">
        <v>339</v>
      </c>
      <c r="C5" s="162">
        <v>460</v>
      </c>
      <c r="D5" s="5" t="s">
        <v>340</v>
      </c>
      <c r="E5" s="5" t="s">
        <v>335</v>
      </c>
      <c r="AI5" s="1"/>
    </row>
    <row r="6" spans="1:40" ht="87" x14ac:dyDescent="0.35">
      <c r="A6" s="84" t="str">
        <f>+alph!B3</f>
        <v>Gas_B</v>
      </c>
      <c r="B6" s="5" t="s">
        <v>329</v>
      </c>
      <c r="C6" s="62">
        <v>1086</v>
      </c>
      <c r="D6" s="5" t="s">
        <v>315</v>
      </c>
      <c r="E6" s="5" t="s">
        <v>884</v>
      </c>
      <c r="AI6" s="1"/>
    </row>
    <row r="7" spans="1:40" ht="43.5" x14ac:dyDescent="0.35">
      <c r="A7" s="84" t="str">
        <f>+alph!B4</f>
        <v>Gas_C</v>
      </c>
      <c r="B7" s="5" t="s">
        <v>331</v>
      </c>
      <c r="C7" s="62">
        <v>76</v>
      </c>
      <c r="D7" s="5" t="s">
        <v>121</v>
      </c>
      <c r="E7" s="46" t="s">
        <v>332</v>
      </c>
      <c r="AI7" s="1"/>
    </row>
    <row r="8" spans="1:40" ht="43.5" x14ac:dyDescent="0.35">
      <c r="A8" s="84" t="str">
        <f>+alph!B5</f>
        <v>Gas_D</v>
      </c>
      <c r="B8" s="5" t="s">
        <v>333</v>
      </c>
      <c r="C8" s="47">
        <v>14.15</v>
      </c>
      <c r="D8" s="5" t="s">
        <v>149</v>
      </c>
      <c r="E8" s="46" t="s">
        <v>334</v>
      </c>
      <c r="F8" s="54"/>
      <c r="AI8" s="1"/>
    </row>
    <row r="9" spans="1:40" x14ac:dyDescent="0.35">
      <c r="A9" s="84" t="str">
        <f>+alph!B6</f>
        <v>Gas_E</v>
      </c>
      <c r="B9"/>
      <c r="AI9" s="1"/>
    </row>
    <row r="10" spans="1:40" ht="29" x14ac:dyDescent="0.35">
      <c r="A10" s="84" t="str">
        <f>+alph!B7</f>
        <v>Gas_F</v>
      </c>
      <c r="B10" s="5" t="s">
        <v>336</v>
      </c>
      <c r="C10" s="47">
        <f>+main!C11</f>
        <v>29.434000000000001</v>
      </c>
      <c r="D10" s="5" t="s">
        <v>311</v>
      </c>
      <c r="E10" s="46" t="str">
        <f>+"Repeat of "&amp;TEXT(main!A11,0)</f>
        <v>Repeat of I</v>
      </c>
      <c r="AI10" s="1"/>
    </row>
    <row r="11" spans="1:40" ht="43.5" x14ac:dyDescent="0.35">
      <c r="A11" s="84" t="str">
        <f>+alph!B8</f>
        <v>Gas_G</v>
      </c>
      <c r="B11" s="5" t="s">
        <v>336</v>
      </c>
      <c r="C11" s="47">
        <v>14.45</v>
      </c>
      <c r="D11" s="5" t="s">
        <v>149</v>
      </c>
      <c r="E11" s="5" t="s">
        <v>337</v>
      </c>
      <c r="AI11" s="1"/>
    </row>
    <row r="12" spans="1:40" x14ac:dyDescent="0.35">
      <c r="A12" s="84" t="str">
        <f>+alph!B9</f>
        <v>Gas_H</v>
      </c>
      <c r="B12" s="5" t="s">
        <v>374</v>
      </c>
      <c r="C12" s="2">
        <v>12.5</v>
      </c>
      <c r="D12" s="2" t="s">
        <v>377</v>
      </c>
      <c r="E12" s="2"/>
    </row>
    <row r="13" spans="1:40" ht="29" x14ac:dyDescent="0.35">
      <c r="A13" s="84" t="str">
        <f>+alph!B10</f>
        <v>Gas_I</v>
      </c>
      <c r="B13" s="5" t="s">
        <v>376</v>
      </c>
      <c r="C13" s="2">
        <f>+(C12+0.2836)/1.05</f>
        <v>12.174857142857142</v>
      </c>
      <c r="D13" s="2" t="s">
        <v>149</v>
      </c>
      <c r="E13" s="5" t="s">
        <v>411</v>
      </c>
    </row>
    <row r="14" spans="1:40" x14ac:dyDescent="0.35">
      <c r="A14" s="84" t="str">
        <f>+alph!B11</f>
        <v>Gas_J</v>
      </c>
      <c r="B14" s="5" t="s">
        <v>375</v>
      </c>
      <c r="C14" s="2">
        <f>+C12-C13</f>
        <v>0.32514285714285762</v>
      </c>
      <c r="D14" s="2" t="s">
        <v>149</v>
      </c>
      <c r="E14" s="2"/>
    </row>
    <row r="15" spans="1:40" s="33" customFormat="1" ht="21" x14ac:dyDescent="0.5">
      <c r="A15" s="192" t="s">
        <v>961</v>
      </c>
      <c r="B15" s="174" t="s">
        <v>930</v>
      </c>
      <c r="C15" s="175"/>
      <c r="D15" s="175"/>
      <c r="E15" s="175"/>
    </row>
    <row r="16" spans="1:40" x14ac:dyDescent="0.35">
      <c r="A16" s="84" t="str">
        <f>+alph!B12</f>
        <v>Gas_K</v>
      </c>
      <c r="B16" s="5">
        <v>1</v>
      </c>
      <c r="C16" s="5">
        <f>+B16+1</f>
        <v>2</v>
      </c>
      <c r="D16" s="5">
        <f t="shared" ref="D16:Q16" si="0">+C16+1</f>
        <v>3</v>
      </c>
      <c r="E16" s="5">
        <f t="shared" si="0"/>
        <v>4</v>
      </c>
      <c r="F16" s="5">
        <f t="shared" si="0"/>
        <v>5</v>
      </c>
      <c r="G16" s="5">
        <f t="shared" si="0"/>
        <v>6</v>
      </c>
      <c r="H16" s="5">
        <f>+G16+1</f>
        <v>7</v>
      </c>
      <c r="I16" s="5">
        <f t="shared" si="0"/>
        <v>8</v>
      </c>
      <c r="J16" s="5">
        <f t="shared" si="0"/>
        <v>9</v>
      </c>
      <c r="K16" s="5">
        <f t="shared" si="0"/>
        <v>10</v>
      </c>
      <c r="L16" s="5">
        <f t="shared" si="0"/>
        <v>11</v>
      </c>
      <c r="M16" s="5">
        <f t="shared" si="0"/>
        <v>12</v>
      </c>
      <c r="N16" s="5">
        <f t="shared" si="0"/>
        <v>13</v>
      </c>
      <c r="O16" s="170"/>
      <c r="P16" s="5">
        <f>+N16+1</f>
        <v>14</v>
      </c>
      <c r="Q16" s="5">
        <f t="shared" si="0"/>
        <v>15</v>
      </c>
      <c r="R16">
        <v>16</v>
      </c>
      <c r="T16">
        <v>17</v>
      </c>
      <c r="Y16" t="s">
        <v>938</v>
      </c>
      <c r="AN16" s="1"/>
    </row>
    <row r="17" spans="1:40" ht="146.5" customHeight="1" x14ac:dyDescent="0.35">
      <c r="A17" s="84" t="str">
        <f>+alph!B13</f>
        <v>Gas_L</v>
      </c>
      <c r="B17" s="18" t="s">
        <v>67</v>
      </c>
      <c r="C17" s="18" t="s">
        <v>931</v>
      </c>
      <c r="D17" s="18" t="s">
        <v>148</v>
      </c>
      <c r="E17" s="60" t="s">
        <v>932</v>
      </c>
      <c r="F17" s="18" t="s">
        <v>933</v>
      </c>
      <c r="G17" s="64" t="s">
        <v>934</v>
      </c>
      <c r="H17" s="64" t="s">
        <v>414</v>
      </c>
      <c r="I17" s="64" t="s">
        <v>415</v>
      </c>
      <c r="J17" s="64" t="s">
        <v>935</v>
      </c>
      <c r="K17" s="64" t="s">
        <v>644</v>
      </c>
      <c r="L17" s="56" t="s">
        <v>936</v>
      </c>
      <c r="M17" s="56" t="s">
        <v>937</v>
      </c>
      <c r="N17" s="56" t="s">
        <v>999</v>
      </c>
      <c r="O17" s="56" t="s">
        <v>1000</v>
      </c>
      <c r="P17" s="64" t="s">
        <v>645</v>
      </c>
      <c r="Q17" s="64" t="s">
        <v>648</v>
      </c>
      <c r="R17" s="128" t="s">
        <v>837</v>
      </c>
      <c r="S17" s="150" t="s">
        <v>941</v>
      </c>
      <c r="T17" s="56" t="s">
        <v>942</v>
      </c>
      <c r="U17" s="150" t="s">
        <v>943</v>
      </c>
      <c r="V17" s="56" t="s">
        <v>881</v>
      </c>
      <c r="W17" s="56" t="s">
        <v>882</v>
      </c>
      <c r="Y17" s="161" t="s">
        <v>145</v>
      </c>
      <c r="Z17" s="161" t="s">
        <v>146</v>
      </c>
      <c r="AA17" s="161" t="s">
        <v>68</v>
      </c>
      <c r="AB17" s="161" t="s">
        <v>71</v>
      </c>
      <c r="AC17" s="161" t="s">
        <v>148</v>
      </c>
      <c r="AD17" s="161" t="s">
        <v>63</v>
      </c>
      <c r="AN17" s="1"/>
    </row>
    <row r="18" spans="1:40" ht="29" x14ac:dyDescent="0.35">
      <c r="A18" s="84" t="str">
        <f>+alph!B14</f>
        <v>Gas_M</v>
      </c>
      <c r="B18" s="5" t="s">
        <v>416</v>
      </c>
      <c r="C18" s="5">
        <v>12.48</v>
      </c>
      <c r="D18" s="5" t="s">
        <v>149</v>
      </c>
      <c r="E18" s="59" t="s">
        <v>338</v>
      </c>
      <c r="F18" s="5">
        <v>12.98</v>
      </c>
      <c r="G18" s="2">
        <f>+C18</f>
        <v>12.48</v>
      </c>
      <c r="H18" s="2"/>
      <c r="I18" s="2"/>
      <c r="J18" s="2"/>
      <c r="K18" s="2"/>
      <c r="L18">
        <v>12.48</v>
      </c>
      <c r="M18">
        <f>+F18</f>
        <v>12.98</v>
      </c>
      <c r="N18" s="24">
        <f>+main!C74</f>
        <v>10.666370855260029</v>
      </c>
      <c r="O18" s="24">
        <f>+main!D74</f>
        <v>11.130769636638533</v>
      </c>
      <c r="R18" s="48">
        <f>+main!C53</f>
        <v>12.174857142857142</v>
      </c>
      <c r="S18" s="151">
        <v>12.5</v>
      </c>
      <c r="T18">
        <v>12.5</v>
      </c>
      <c r="U18">
        <f>+T18</f>
        <v>12.5</v>
      </c>
      <c r="Y18" s="160" t="str">
        <f>+A19</f>
        <v>Gas_N</v>
      </c>
      <c r="Z18" s="160" t="str">
        <f>+B19</f>
        <v>Apparent starting  ball pressure</v>
      </c>
      <c r="AA18" s="48">
        <f>+H19</f>
        <v>12.5</v>
      </c>
      <c r="AB18" s="48">
        <f>+I19</f>
        <v>13</v>
      </c>
      <c r="AC18" s="48" t="str">
        <f>+D19</f>
        <v>psi</v>
      </c>
      <c r="AD18" s="160" t="str">
        <f>+E19</f>
        <v>Referee testimony</v>
      </c>
      <c r="AN18" s="1"/>
    </row>
    <row r="19" spans="1:40" ht="43.5" x14ac:dyDescent="0.35">
      <c r="A19" s="84" t="str">
        <f>+alph!B15</f>
        <v>Gas_N</v>
      </c>
      <c r="B19" s="5" t="s">
        <v>416</v>
      </c>
      <c r="C19" s="5"/>
      <c r="D19" s="5" t="s">
        <v>149</v>
      </c>
      <c r="E19" s="59" t="s">
        <v>418</v>
      </c>
      <c r="F19" s="5"/>
      <c r="G19" s="2"/>
      <c r="H19" s="68">
        <v>12.5</v>
      </c>
      <c r="I19" s="68">
        <v>13</v>
      </c>
      <c r="J19" s="65">
        <f>+H19</f>
        <v>12.5</v>
      </c>
      <c r="K19" s="2"/>
      <c r="R19" s="129"/>
      <c r="S19" s="52"/>
      <c r="Y19" s="160" t="str">
        <f t="shared" ref="Y19:Y20" si="1">+A20</f>
        <v>Gas_O</v>
      </c>
      <c r="Z19" s="160" t="str">
        <f>+B20</f>
        <v>Actual starting ball pressure</v>
      </c>
      <c r="AA19" s="48">
        <f t="shared" ref="AA19:AA20" si="2">+H20</f>
        <v>12.174857142857142</v>
      </c>
      <c r="AB19" s="48">
        <f t="shared" ref="AB19:AB20" si="3">+I20</f>
        <v>12.651047619047619</v>
      </c>
      <c r="AC19" s="48" t="str">
        <f t="shared" ref="AC19:AC20" si="4">+D20</f>
        <v>psi</v>
      </c>
      <c r="AD19" s="160" t="str">
        <f t="shared" ref="AD19" si="5">+E20</f>
        <v>(Reported pressure + 0.2836)/1.05) (See Exponent Figure 13)</v>
      </c>
      <c r="AN19" s="1"/>
    </row>
    <row r="20" spans="1:40" ht="40.5" customHeight="1" x14ac:dyDescent="0.35">
      <c r="A20" s="84" t="str">
        <f>+alph!B16</f>
        <v>Gas_O</v>
      </c>
      <c r="B20" s="5" t="s">
        <v>417</v>
      </c>
      <c r="C20" s="5"/>
      <c r="D20" s="5" t="s">
        <v>149</v>
      </c>
      <c r="E20" s="5" t="s">
        <v>411</v>
      </c>
      <c r="F20" s="5"/>
      <c r="G20" s="2"/>
      <c r="H20" s="68">
        <f>+(H19+0.2836)/1.05</f>
        <v>12.174857142857142</v>
      </c>
      <c r="I20" s="68">
        <f>+(I19+0.2836)/1.05</f>
        <v>12.651047619047619</v>
      </c>
      <c r="J20" s="65">
        <f>+H20</f>
        <v>12.174857142857142</v>
      </c>
      <c r="K20" s="65">
        <f>+main!C74</f>
        <v>10.666370855260029</v>
      </c>
      <c r="P20" s="68">
        <f>+$H$20</f>
        <v>12.174857142857142</v>
      </c>
      <c r="Q20" s="68">
        <f>+$H$20</f>
        <v>12.174857142857142</v>
      </c>
      <c r="R20" s="129"/>
      <c r="S20" s="151">
        <f>+Q20</f>
        <v>12.174857142857142</v>
      </c>
      <c r="T20">
        <f>+(T18+0.1444)/1.015</f>
        <v>12.457536945812809</v>
      </c>
      <c r="U20">
        <f>+(U18+0.1444)/1.015</f>
        <v>12.457536945812809</v>
      </c>
      <c r="Y20" s="160" t="str">
        <f t="shared" si="1"/>
        <v>Gas_P</v>
      </c>
      <c r="Z20" s="160" t="str">
        <f t="shared" ref="Z20" si="6">+B21</f>
        <v>Starting absolute pressure</v>
      </c>
      <c r="AA20" s="48">
        <f t="shared" si="2"/>
        <v>26.624857142857142</v>
      </c>
      <c r="AB20" s="48">
        <f t="shared" si="3"/>
        <v>27.10104761904762</v>
      </c>
      <c r="AC20" s="48" t="str">
        <f t="shared" si="4"/>
        <v>psi</v>
      </c>
      <c r="AD20" s="160" t="str">
        <f>+"Above plus the outside air pressure at the stadium at half time: row "&amp;TEXT(main!A11,0)</f>
        <v>Above plus the outside air pressure at the stadium at half time: row I</v>
      </c>
      <c r="AN20" s="1"/>
    </row>
    <row r="21" spans="1:40" x14ac:dyDescent="0.35">
      <c r="A21" s="84" t="str">
        <f>+alph!B17</f>
        <v>Gas_P</v>
      </c>
      <c r="B21" s="5" t="s">
        <v>396</v>
      </c>
      <c r="C21" s="48">
        <f>+C18+$C$61</f>
        <v>26.630000000000003</v>
      </c>
      <c r="D21" s="5" t="s">
        <v>149</v>
      </c>
      <c r="E21" s="59" t="s">
        <v>403</v>
      </c>
      <c r="F21" s="48">
        <f>+F18+$C$61</f>
        <v>27.130000000000003</v>
      </c>
      <c r="G21" s="65">
        <f>+G18+$C$11</f>
        <v>26.93</v>
      </c>
      <c r="H21" s="65">
        <f>+H20+$C$11</f>
        <v>26.624857142857142</v>
      </c>
      <c r="I21" s="65">
        <f>+I20+$C$11</f>
        <v>27.10104761904762</v>
      </c>
      <c r="J21" s="65">
        <f>+J20+$C$11</f>
        <v>26.624857142857142</v>
      </c>
      <c r="K21" s="65">
        <f>+K20+$C$11</f>
        <v>25.11637085526003</v>
      </c>
      <c r="L21" s="48">
        <f>+L18+$C$8</f>
        <v>26.630000000000003</v>
      </c>
      <c r="M21" s="48">
        <f>+M18+$C$8</f>
        <v>27.130000000000003</v>
      </c>
      <c r="N21" s="48">
        <f>+N18+$C$8</f>
        <v>24.816370855260029</v>
      </c>
      <c r="O21" s="48">
        <f>+O18+$C$8</f>
        <v>25.280769636638531</v>
      </c>
      <c r="P21" s="65">
        <f t="shared" ref="P21:Q21" si="7">+P20+$C$11</f>
        <v>26.624857142857142</v>
      </c>
      <c r="Q21" s="65">
        <f t="shared" si="7"/>
        <v>26.624857142857142</v>
      </c>
      <c r="R21" s="48">
        <f>+R18+$C$11</f>
        <v>26.624857142857142</v>
      </c>
      <c r="S21" s="48">
        <f t="shared" ref="S21:T21" si="8">+S20+$C$11</f>
        <v>26.624857142857142</v>
      </c>
      <c r="T21" s="48">
        <f t="shared" si="8"/>
        <v>26.907536945812808</v>
      </c>
      <c r="U21" s="48">
        <f>+U20+$C$11</f>
        <v>26.907536945812808</v>
      </c>
      <c r="Y21" s="160" t="str">
        <f t="shared" ref="Y21:Z27" si="9">+A24</f>
        <v>Gas_S</v>
      </c>
      <c r="Z21" s="160" t="str">
        <f t="shared" si="9"/>
        <v>Starting temperature</v>
      </c>
      <c r="AA21" s="48">
        <f t="shared" ref="AA21:AB27" si="10">+H24</f>
        <v>72.280967741935484</v>
      </c>
      <c r="AB21" s="48">
        <f t="shared" si="10"/>
        <v>72.280967741935484</v>
      </c>
      <c r="AC21" s="48" t="str">
        <f>+D24</f>
        <v>F</v>
      </c>
      <c r="AD21" s="160" t="str">
        <f>+"See row "&amp;TEXT(main!A37,0)</f>
        <v>See row AI</v>
      </c>
      <c r="AN21" s="1"/>
    </row>
    <row r="22" spans="1:40" ht="14" customHeight="1" x14ac:dyDescent="0.35">
      <c r="A22" s="84" t="str">
        <f>+alph!B18</f>
        <v>Gas_Q</v>
      </c>
      <c r="B22" s="5" t="s">
        <v>393</v>
      </c>
      <c r="C22" s="5">
        <v>69</v>
      </c>
      <c r="D22" s="5" t="s">
        <v>121</v>
      </c>
      <c r="E22" s="59" t="s">
        <v>395</v>
      </c>
      <c r="F22" s="5">
        <f>+C22</f>
        <v>69</v>
      </c>
      <c r="G22" s="2">
        <f>+F22</f>
        <v>69</v>
      </c>
      <c r="H22" s="2"/>
      <c r="I22" s="2"/>
      <c r="J22" s="2"/>
      <c r="K22" s="2"/>
      <c r="P22" s="2"/>
      <c r="Q22" s="2"/>
      <c r="R22" s="129">
        <v>69</v>
      </c>
      <c r="S22" s="48">
        <f>+U22</f>
        <v>72.280967741935484</v>
      </c>
      <c r="T22" s="144">
        <v>71</v>
      </c>
      <c r="U22" s="48">
        <f>+H24</f>
        <v>72.280967741935484</v>
      </c>
      <c r="Y22" s="160" t="str">
        <f t="shared" si="9"/>
        <v>Gas_T</v>
      </c>
      <c r="Z22" s="160" t="str">
        <f t="shared" si="9"/>
        <v>Ending temperature</v>
      </c>
      <c r="AA22" s="48">
        <f t="shared" si="10"/>
        <v>44.779499999999999</v>
      </c>
      <c r="AB22" s="48">
        <f t="shared" si="10"/>
        <v>44.779499999999999</v>
      </c>
      <c r="AC22" s="48" t="str">
        <f t="shared" ref="AC22:AC27" si="11">+D25</f>
        <v>F</v>
      </c>
      <c r="AD22" s="160" t="str">
        <f>+"See row "&amp;TEXT(main!A38,0)</f>
        <v>See row Index</v>
      </c>
      <c r="AN22" s="1"/>
    </row>
    <row r="23" spans="1:40" ht="13" customHeight="1" x14ac:dyDescent="0.35">
      <c r="A23" s="84" t="str">
        <f>+alph!B19</f>
        <v>Gas_R</v>
      </c>
      <c r="B23" s="5" t="s">
        <v>394</v>
      </c>
      <c r="C23" s="5">
        <v>48</v>
      </c>
      <c r="D23" s="5" t="s">
        <v>121</v>
      </c>
      <c r="E23" s="59" t="s">
        <v>395</v>
      </c>
      <c r="F23" s="5">
        <f>+C23</f>
        <v>48</v>
      </c>
      <c r="G23" s="2">
        <f>+F23</f>
        <v>48</v>
      </c>
      <c r="H23" s="2"/>
      <c r="I23" s="2"/>
      <c r="J23" s="2"/>
      <c r="K23" s="2"/>
      <c r="P23" s="2"/>
      <c r="Q23" s="2"/>
      <c r="R23" s="129">
        <v>48</v>
      </c>
      <c r="S23" s="144">
        <v>48</v>
      </c>
      <c r="T23" s="144">
        <v>48</v>
      </c>
      <c r="U23" s="144">
        <v>48</v>
      </c>
      <c r="Y23" s="160" t="str">
        <f t="shared" si="9"/>
        <v>Gas_U</v>
      </c>
      <c r="Z23" s="160" t="str">
        <f t="shared" si="9"/>
        <v>Absolute start temperature</v>
      </c>
      <c r="AA23" s="48">
        <f t="shared" si="10"/>
        <v>532.28096774193546</v>
      </c>
      <c r="AB23" s="48">
        <f t="shared" si="10"/>
        <v>532.28096774193546</v>
      </c>
      <c r="AC23" s="48" t="str">
        <f t="shared" si="11"/>
        <v>R</v>
      </c>
      <c r="AD23" s="101" t="str">
        <f>+E26</f>
        <v>above start plus 460</v>
      </c>
      <c r="AN23" s="1"/>
    </row>
    <row r="24" spans="1:40" ht="13" customHeight="1" x14ac:dyDescent="0.35">
      <c r="A24" s="84" t="str">
        <f>+alph!B20</f>
        <v>Gas_S</v>
      </c>
      <c r="B24" s="5" t="str">
        <f>+B22</f>
        <v>Starting temperature</v>
      </c>
      <c r="C24" s="5"/>
      <c r="D24" s="5" t="s">
        <v>121</v>
      </c>
      <c r="E24" s="59" t="s">
        <v>427</v>
      </c>
      <c r="F24" s="5"/>
      <c r="G24" s="2"/>
      <c r="H24" s="68">
        <f>+main!$C$45</f>
        <v>72.280967741935484</v>
      </c>
      <c r="I24" s="68">
        <f>+main!$C$45</f>
        <v>72.280967741935484</v>
      </c>
      <c r="J24" s="65">
        <f>+I24</f>
        <v>72.280967741935484</v>
      </c>
      <c r="K24" s="2">
        <v>50</v>
      </c>
      <c r="L24">
        <v>69</v>
      </c>
      <c r="M24">
        <f>+L24</f>
        <v>69</v>
      </c>
      <c r="N24">
        <f>+main!C17</f>
        <v>44.779499999999999</v>
      </c>
      <c r="O24">
        <f>+N24</f>
        <v>44.779499999999999</v>
      </c>
      <c r="P24" s="68">
        <v>70</v>
      </c>
      <c r="Q24" s="68">
        <v>71</v>
      </c>
      <c r="R24" s="129"/>
      <c r="Y24" s="160" t="str">
        <f t="shared" si="9"/>
        <v>Gas_V</v>
      </c>
      <c r="Z24" s="160" t="str">
        <f t="shared" si="9"/>
        <v>Absolute end temperature</v>
      </c>
      <c r="AA24" s="48">
        <f t="shared" si="10"/>
        <v>504.77949999999998</v>
      </c>
      <c r="AB24" s="48">
        <f t="shared" si="10"/>
        <v>504.77949999999998</v>
      </c>
      <c r="AC24" s="48" t="str">
        <f t="shared" si="11"/>
        <v>R</v>
      </c>
      <c r="AD24" s="101" t="str">
        <f t="shared" ref="AD24:AD26" si="12">+E27</f>
        <v>above ending plus 460</v>
      </c>
      <c r="AN24" s="1"/>
    </row>
    <row r="25" spans="1:40" ht="44" customHeight="1" x14ac:dyDescent="0.35">
      <c r="A25" s="84" t="str">
        <f>+alph!B21</f>
        <v>Gas_T</v>
      </c>
      <c r="B25" s="5" t="str">
        <f>+B23</f>
        <v>Ending temperature</v>
      </c>
      <c r="C25" s="5"/>
      <c r="D25" s="5" t="s">
        <v>121</v>
      </c>
      <c r="E25" s="59" t="s">
        <v>427</v>
      </c>
      <c r="F25" s="5"/>
      <c r="G25" s="2"/>
      <c r="H25" s="68">
        <f>+main!$C$17</f>
        <v>44.779499999999999</v>
      </c>
      <c r="I25" s="68">
        <f>+main!$C$17</f>
        <v>44.779499999999999</v>
      </c>
      <c r="J25" s="2">
        <v>72.5</v>
      </c>
      <c r="K25" s="2">
        <v>51</v>
      </c>
      <c r="L25">
        <v>72.5</v>
      </c>
      <c r="M25">
        <f>+L25</f>
        <v>72.5</v>
      </c>
      <c r="N25" s="24">
        <f>+main!C98</f>
        <v>55.65</v>
      </c>
      <c r="O25" s="24">
        <f>+N25</f>
        <v>55.65</v>
      </c>
      <c r="P25" s="68">
        <v>48</v>
      </c>
      <c r="Q25" s="68">
        <f>+P25</f>
        <v>48</v>
      </c>
      <c r="R25" s="129"/>
      <c r="Y25" s="160" t="str">
        <f t="shared" si="9"/>
        <v>Gas_W</v>
      </c>
      <c r="Z25" s="160" t="str">
        <f t="shared" si="9"/>
        <v>End absolute pressure</v>
      </c>
      <c r="AA25" s="48">
        <f t="shared" si="10"/>
        <v>25.249225297604074</v>
      </c>
      <c r="AB25" s="48">
        <f t="shared" si="10"/>
        <v>25.700812344753075</v>
      </c>
      <c r="AC25" s="48" t="str">
        <f t="shared" si="11"/>
        <v>psi</v>
      </c>
      <c r="AD25" s="101" t="str">
        <f t="shared" si="12"/>
        <v>Gas law: P_new=P_old*T_New/T_old</v>
      </c>
      <c r="AN25" s="1"/>
    </row>
    <row r="26" spans="1:40" ht="25.5" customHeight="1" x14ac:dyDescent="0.35">
      <c r="A26" s="84" t="str">
        <f>+alph!B22</f>
        <v>Gas_U</v>
      </c>
      <c r="B26" s="5" t="s">
        <v>384</v>
      </c>
      <c r="C26" s="62">
        <f>+C22+$C$5</f>
        <v>529</v>
      </c>
      <c r="D26" s="62" t="s">
        <v>138</v>
      </c>
      <c r="E26" s="63" t="s">
        <v>887</v>
      </c>
      <c r="F26" s="62">
        <f>+C26</f>
        <v>529</v>
      </c>
      <c r="G26" s="66">
        <f>+F26</f>
        <v>529</v>
      </c>
      <c r="H26" s="62">
        <f t="shared" ref="H26:K27" si="13">+H24+$C$5</f>
        <v>532.28096774193546</v>
      </c>
      <c r="I26" s="62">
        <f t="shared" si="13"/>
        <v>532.28096774193546</v>
      </c>
      <c r="J26" s="62">
        <f t="shared" si="13"/>
        <v>532.28096774193546</v>
      </c>
      <c r="K26" s="62">
        <f t="shared" si="13"/>
        <v>510</v>
      </c>
      <c r="L26" s="62">
        <f t="shared" ref="L26:M26" si="14">+L24+$C$5</f>
        <v>529</v>
      </c>
      <c r="M26" s="62">
        <f t="shared" si="14"/>
        <v>529</v>
      </c>
      <c r="N26" s="62">
        <f t="shared" ref="N26:Q26" si="15">+N24+$C$5</f>
        <v>504.77949999999998</v>
      </c>
      <c r="O26" s="62">
        <f t="shared" si="15"/>
        <v>504.77949999999998</v>
      </c>
      <c r="P26" s="62">
        <f t="shared" si="15"/>
        <v>530</v>
      </c>
      <c r="Q26" s="62">
        <f t="shared" si="15"/>
        <v>531</v>
      </c>
      <c r="R26" s="62">
        <f t="shared" ref="R26:U27" si="16">+R22+$C$5</f>
        <v>529</v>
      </c>
      <c r="S26" s="62">
        <f t="shared" si="16"/>
        <v>532.28096774193546</v>
      </c>
      <c r="T26" s="62">
        <f t="shared" si="16"/>
        <v>531</v>
      </c>
      <c r="U26" s="62">
        <f t="shared" si="16"/>
        <v>532.28096774193546</v>
      </c>
      <c r="Y26" s="160" t="str">
        <f t="shared" si="9"/>
        <v>Gas_X</v>
      </c>
      <c r="Z26" s="160" t="str">
        <f t="shared" si="9"/>
        <v>End ball pressure</v>
      </c>
      <c r="AA26" s="48">
        <f t="shared" si="10"/>
        <v>10.799225297604075</v>
      </c>
      <c r="AB26" s="48">
        <f t="shared" si="10"/>
        <v>11.250812344753076</v>
      </c>
      <c r="AC26" s="48" t="str">
        <f t="shared" si="11"/>
        <v>psi</v>
      </c>
      <c r="AD26" s="101" t="str">
        <f t="shared" si="12"/>
        <v>Absolute pressure - outside pressure</v>
      </c>
    </row>
    <row r="27" spans="1:40" ht="14.5" customHeight="1" x14ac:dyDescent="0.35">
      <c r="A27" s="84" t="str">
        <f>+alph!B23</f>
        <v>Gas_V</v>
      </c>
      <c r="B27" s="5" t="s">
        <v>385</v>
      </c>
      <c r="C27" s="62">
        <f>+C23+$C$5</f>
        <v>508</v>
      </c>
      <c r="D27" s="62" t="s">
        <v>138</v>
      </c>
      <c r="E27" s="63" t="s">
        <v>888</v>
      </c>
      <c r="F27" s="62">
        <f>+C27</f>
        <v>508</v>
      </c>
      <c r="G27" s="66">
        <f>+F27</f>
        <v>508</v>
      </c>
      <c r="H27" s="62">
        <f t="shared" si="13"/>
        <v>504.77949999999998</v>
      </c>
      <c r="I27" s="62">
        <f t="shared" si="13"/>
        <v>504.77949999999998</v>
      </c>
      <c r="J27" s="62">
        <f t="shared" si="13"/>
        <v>532.5</v>
      </c>
      <c r="K27" s="62">
        <f t="shared" si="13"/>
        <v>511</v>
      </c>
      <c r="L27" s="62">
        <f t="shared" ref="L27:M27" si="17">+L25+$C$5</f>
        <v>532.5</v>
      </c>
      <c r="M27" s="62">
        <f t="shared" si="17"/>
        <v>532.5</v>
      </c>
      <c r="N27" s="62">
        <f t="shared" ref="N27:Q27" si="18">+N25+$C$5</f>
        <v>515.65</v>
      </c>
      <c r="O27" s="62">
        <f t="shared" si="18"/>
        <v>515.65</v>
      </c>
      <c r="P27" s="62">
        <f t="shared" si="18"/>
        <v>508</v>
      </c>
      <c r="Q27" s="62">
        <f t="shared" si="18"/>
        <v>508</v>
      </c>
      <c r="R27" s="62">
        <f t="shared" si="16"/>
        <v>508</v>
      </c>
      <c r="S27" s="62">
        <f t="shared" si="16"/>
        <v>508</v>
      </c>
      <c r="T27" s="62">
        <f t="shared" si="16"/>
        <v>508</v>
      </c>
      <c r="U27" s="62">
        <f t="shared" si="16"/>
        <v>508</v>
      </c>
      <c r="Y27" s="160" t="str">
        <f t="shared" si="9"/>
        <v>Gas_Y</v>
      </c>
      <c r="Z27" s="160" t="str">
        <f t="shared" si="9"/>
        <v>Drop due to gas law</v>
      </c>
      <c r="AA27" s="48">
        <f t="shared" si="10"/>
        <v>1.3756318452530678</v>
      </c>
      <c r="AB27" s="48">
        <f t="shared" si="10"/>
        <v>1.400235274294543</v>
      </c>
      <c r="AC27" s="48" t="str">
        <f t="shared" si="11"/>
        <v>psi</v>
      </c>
      <c r="AD27" s="101" t="s">
        <v>899</v>
      </c>
    </row>
    <row r="28" spans="1:40" ht="29" x14ac:dyDescent="0.35">
      <c r="A28" s="84" t="str">
        <f>+alph!B24</f>
        <v>Gas_W</v>
      </c>
      <c r="B28" s="5" t="s">
        <v>397</v>
      </c>
      <c r="C28" s="47">
        <f>+C21*C27/C26</f>
        <v>25.572854442344045</v>
      </c>
      <c r="D28" s="47" t="s">
        <v>149</v>
      </c>
      <c r="E28" s="61" t="s">
        <v>401</v>
      </c>
      <c r="F28" s="47">
        <f t="shared" ref="F28:O28" si="19">+F21*F27/F26</f>
        <v>26.053005671077507</v>
      </c>
      <c r="G28" s="47">
        <f t="shared" si="19"/>
        <v>25.860945179584121</v>
      </c>
      <c r="H28" s="47">
        <f t="shared" si="19"/>
        <v>25.249225297604074</v>
      </c>
      <c r="I28" s="47">
        <f t="shared" si="19"/>
        <v>25.700812344753075</v>
      </c>
      <c r="J28" s="47">
        <f t="shared" si="19"/>
        <v>26.635813203535744</v>
      </c>
      <c r="K28" s="47">
        <f t="shared" si="19"/>
        <v>25.165618641250738</v>
      </c>
      <c r="L28" s="47">
        <f t="shared" si="19"/>
        <v>26.806190926275995</v>
      </c>
      <c r="M28" s="47">
        <f t="shared" si="19"/>
        <v>27.309499054820421</v>
      </c>
      <c r="N28" s="47">
        <f t="shared" si="19"/>
        <v>25.350795013495659</v>
      </c>
      <c r="O28" s="47">
        <f t="shared" si="19"/>
        <v>25.82519469022149</v>
      </c>
      <c r="P28" s="47">
        <f t="shared" ref="P28:Q28" si="20">+P21*P27/P26</f>
        <v>25.519674393530995</v>
      </c>
      <c r="Q28" s="47">
        <f t="shared" si="20"/>
        <v>25.471614743072369</v>
      </c>
      <c r="R28" s="47">
        <f>+R21*R27/R26</f>
        <v>25.567915743991357</v>
      </c>
      <c r="S28" s="47">
        <f>+S21*S27/S26</f>
        <v>25.410315694640673</v>
      </c>
      <c r="T28" s="47">
        <f>+T21*T27/T26</f>
        <v>25.742050411436736</v>
      </c>
      <c r="U28" s="47">
        <f>+U21*U27/U26</f>
        <v>25.680100542501513</v>
      </c>
      <c r="Y28" s="160"/>
      <c r="Z28" s="160"/>
      <c r="AA28" s="160"/>
      <c r="AB28" s="160"/>
      <c r="AC28" s="160"/>
      <c r="AD28" s="160"/>
      <c r="AN28" s="1"/>
    </row>
    <row r="29" spans="1:40" ht="29" x14ac:dyDescent="0.35">
      <c r="A29" s="84" t="str">
        <f>+alph!B25</f>
        <v>Gas_X</v>
      </c>
      <c r="B29" s="5" t="s">
        <v>387</v>
      </c>
      <c r="C29" s="48">
        <f>+C28-$C$61</f>
        <v>11.422854442344045</v>
      </c>
      <c r="D29" s="5" t="s">
        <v>149</v>
      </c>
      <c r="E29" s="59" t="s">
        <v>402</v>
      </c>
      <c r="F29" s="48">
        <f>+F28-$C$61</f>
        <v>11.903005671077507</v>
      </c>
      <c r="G29" s="65">
        <f>+G28-$C$11</f>
        <v>11.410945179584122</v>
      </c>
      <c r="H29" s="65">
        <f>+H28-$C$11</f>
        <v>10.799225297604075</v>
      </c>
      <c r="I29" s="65">
        <f>+I28-$C$11</f>
        <v>11.250812344753076</v>
      </c>
      <c r="J29" s="65">
        <f>+J28-$C$11</f>
        <v>12.185813203535744</v>
      </c>
      <c r="K29" s="65">
        <f>+K28-$C$11</f>
        <v>10.715618641250739</v>
      </c>
      <c r="L29" s="24">
        <f>+L28-$C$8</f>
        <v>12.656190926275995</v>
      </c>
      <c r="M29" s="24">
        <f>+M28-$C$8</f>
        <v>13.15949905482042</v>
      </c>
      <c r="N29" s="24">
        <f>+N28-$C$8</f>
        <v>11.200795013495659</v>
      </c>
      <c r="O29" s="24">
        <f>+O28-$C$8</f>
        <v>11.67519469022149</v>
      </c>
      <c r="P29" s="65">
        <f t="shared" ref="P29:Q29" si="21">+P28-$C$11</f>
        <v>11.069674393530995</v>
      </c>
      <c r="Q29" s="65">
        <f t="shared" si="21"/>
        <v>11.021614743072369</v>
      </c>
      <c r="R29" s="48">
        <f>+R28-$C$11</f>
        <v>11.117915743991357</v>
      </c>
      <c r="S29" s="48">
        <f>+S28-$C$11</f>
        <v>10.960315694640673</v>
      </c>
      <c r="T29" s="48">
        <f>+T28-$C$11</f>
        <v>11.292050411436737</v>
      </c>
      <c r="U29" s="48">
        <f>+U28-$C$11</f>
        <v>11.230100542501514</v>
      </c>
      <c r="V29" s="24">
        <f>+T29-U29</f>
        <v>6.1949868935222696E-2</v>
      </c>
      <c r="W29" s="24">
        <f>+U29-S29</f>
        <v>0.26978484786084067</v>
      </c>
      <c r="Y29" s="160"/>
      <c r="Z29" s="160"/>
      <c r="AA29" s="160"/>
      <c r="AB29" s="160"/>
      <c r="AC29" s="160"/>
      <c r="AD29" s="160"/>
      <c r="AN29" s="1"/>
    </row>
    <row r="30" spans="1:40" x14ac:dyDescent="0.35">
      <c r="A30" s="84" t="str">
        <f>+alph!B26</f>
        <v>Gas_Y</v>
      </c>
      <c r="B30" s="5" t="s">
        <v>412</v>
      </c>
      <c r="C30" s="48">
        <f>+C18-C29</f>
        <v>1.0571455576559554</v>
      </c>
      <c r="D30" s="5" t="s">
        <v>149</v>
      </c>
      <c r="E30" s="59"/>
      <c r="F30" s="48"/>
      <c r="G30" s="65"/>
      <c r="H30" s="65">
        <f>+H20-H29</f>
        <v>1.3756318452530678</v>
      </c>
      <c r="I30" s="65">
        <f>+I20-I29</f>
        <v>1.400235274294543</v>
      </c>
      <c r="J30" s="65">
        <f>+J20-J29</f>
        <v>-1.0956060678601887E-2</v>
      </c>
      <c r="K30" s="65">
        <f>+K20-K29</f>
        <v>-4.9247785990710113E-2</v>
      </c>
      <c r="L30" s="65">
        <f>+L18-L29</f>
        <v>-0.17619092627599464</v>
      </c>
      <c r="M30" s="65">
        <f>+M18-M29</f>
        <v>-0.17949905482042006</v>
      </c>
      <c r="N30" s="65">
        <f>+N18-N29</f>
        <v>-0.53442415823563039</v>
      </c>
      <c r="O30" s="65">
        <f>+O18-O29</f>
        <v>-0.54442505358295712</v>
      </c>
      <c r="P30" s="65" t="s">
        <v>69</v>
      </c>
      <c r="Q30" s="65">
        <f>+P29-Q29</f>
        <v>4.8059650458625924E-2</v>
      </c>
      <c r="R30" s="48">
        <f>+R18-R29</f>
        <v>1.056941398865785</v>
      </c>
      <c r="S30" s="48">
        <f>+S18-S29</f>
        <v>1.5396843053593265</v>
      </c>
      <c r="T30" s="48">
        <f>+T18-T29</f>
        <v>1.2079495885632632</v>
      </c>
      <c r="U30" s="48">
        <f>+U18-U29</f>
        <v>1.2698994574984859</v>
      </c>
      <c r="Y30" s="160"/>
      <c r="Z30" s="160"/>
      <c r="AA30" s="160"/>
      <c r="AB30" s="160"/>
      <c r="AC30" s="160"/>
      <c r="AD30" s="160"/>
      <c r="AN30" s="1"/>
    </row>
    <row r="31" spans="1:40" s="33" customFormat="1" x14ac:dyDescent="0.35">
      <c r="A31" s="173"/>
      <c r="B31" s="177" t="s">
        <v>944</v>
      </c>
      <c r="C31" s="178"/>
      <c r="D31" s="173"/>
      <c r="E31" s="179"/>
      <c r="F31" s="178"/>
      <c r="G31" s="124"/>
      <c r="H31" s="180"/>
      <c r="I31" s="180"/>
      <c r="J31" s="180"/>
      <c r="K31" s="180"/>
      <c r="L31" s="180"/>
      <c r="M31" s="180"/>
      <c r="N31" s="180"/>
      <c r="O31" s="180"/>
      <c r="P31" s="180"/>
      <c r="Q31" s="180"/>
      <c r="R31" s="181"/>
      <c r="S31" s="181"/>
      <c r="T31" s="181"/>
      <c r="U31" s="181"/>
      <c r="Y31" s="173"/>
      <c r="Z31" s="173"/>
      <c r="AA31" s="173"/>
      <c r="AB31" s="173"/>
      <c r="AC31" s="173"/>
      <c r="AD31" s="173"/>
      <c r="AN31" s="42"/>
    </row>
    <row r="32" spans="1:40" ht="43.5" x14ac:dyDescent="0.35">
      <c r="A32" s="84" t="str">
        <f>+alph!B27</f>
        <v>Gas_Z</v>
      </c>
      <c r="B32" s="5" t="s">
        <v>410</v>
      </c>
      <c r="C32" s="48"/>
      <c r="D32" s="5"/>
      <c r="E32" s="59"/>
      <c r="F32" s="48"/>
      <c r="G32" s="65">
        <f>+C29-G29</f>
        <v>1.1909262759923323E-2</v>
      </c>
      <c r="Y32" s="160"/>
      <c r="Z32" s="160"/>
      <c r="AA32" s="160"/>
      <c r="AB32" s="160"/>
      <c r="AC32" s="160"/>
      <c r="AD32" s="160"/>
      <c r="AN32" s="1"/>
    </row>
    <row r="33" spans="1:40" s="33" customFormat="1" ht="21" x14ac:dyDescent="0.5">
      <c r="A33" s="192" t="s">
        <v>961</v>
      </c>
      <c r="B33" s="174" t="s">
        <v>945</v>
      </c>
      <c r="C33" s="178"/>
      <c r="D33" s="173"/>
      <c r="E33" s="179"/>
      <c r="F33" s="178"/>
      <c r="G33" s="180"/>
      <c r="Y33" s="173"/>
      <c r="Z33" s="173"/>
      <c r="AA33" s="173"/>
      <c r="AB33" s="173"/>
      <c r="AC33" s="173"/>
      <c r="AD33" s="173"/>
      <c r="AN33" s="42"/>
    </row>
    <row r="34" spans="1:40" x14ac:dyDescent="0.35">
      <c r="A34" s="84" t="str">
        <f>+alph!B28</f>
        <v>Gas_AA</v>
      </c>
      <c r="B34" s="5" t="s">
        <v>399</v>
      </c>
      <c r="C34" s="5">
        <v>11.34</v>
      </c>
      <c r="D34" s="5" t="s">
        <v>149</v>
      </c>
      <c r="E34" s="59" t="s">
        <v>398</v>
      </c>
      <c r="F34" s="47">
        <f>11.8+(18)/27*0.1</f>
        <v>11.866666666666667</v>
      </c>
      <c r="Y34" s="160"/>
      <c r="Z34" s="160"/>
      <c r="AA34" s="160"/>
      <c r="AB34" s="160"/>
      <c r="AC34" s="160"/>
      <c r="AD34" s="160"/>
      <c r="AN34" s="1"/>
    </row>
    <row r="35" spans="1:40" x14ac:dyDescent="0.35">
      <c r="A35" s="84" t="str">
        <f>+alph!B29</f>
        <v>Gas_AB</v>
      </c>
      <c r="B35" s="5" t="s">
        <v>400</v>
      </c>
      <c r="C35" s="5">
        <f>+'warming curves'!C9</f>
        <v>11.27</v>
      </c>
      <c r="D35" s="5" t="s">
        <v>149</v>
      </c>
      <c r="E35" s="59" t="s">
        <v>398</v>
      </c>
      <c r="F35" s="47">
        <f>11.8-(10)/27*0.1</f>
        <v>11.762962962962964</v>
      </c>
      <c r="Y35" s="160"/>
      <c r="Z35" s="160"/>
      <c r="AA35" s="160"/>
      <c r="AB35" s="160"/>
      <c r="AC35" s="160"/>
      <c r="AD35" s="160"/>
      <c r="AN35" s="1"/>
    </row>
    <row r="36" spans="1:40" x14ac:dyDescent="0.35">
      <c r="A36" s="160" t="str">
        <f>+alph!B30</f>
        <v>Gas_AC</v>
      </c>
      <c r="B36" s="129" t="s">
        <v>846</v>
      </c>
      <c r="C36" s="48">
        <f>+C18-C35</f>
        <v>1.2100000000000009</v>
      </c>
      <c r="D36" s="129"/>
      <c r="E36" s="126"/>
      <c r="F36" s="47"/>
      <c r="Y36" s="160"/>
      <c r="Z36" s="160"/>
      <c r="AA36" s="160"/>
      <c r="AB36" s="160"/>
      <c r="AC36" s="160"/>
      <c r="AD36" s="160"/>
      <c r="AN36" s="1"/>
    </row>
    <row r="37" spans="1:40" ht="45" customHeight="1" x14ac:dyDescent="0.35">
      <c r="A37" s="160" t="str">
        <f>+alph!B31</f>
        <v>Gas_AD</v>
      </c>
      <c r="B37" s="5" t="s">
        <v>406</v>
      </c>
      <c r="C37" s="48">
        <f>+C29-C34</f>
        <v>8.2854442344045154E-2</v>
      </c>
      <c r="D37" s="5" t="s">
        <v>149</v>
      </c>
      <c r="E37" s="59" t="s">
        <v>404</v>
      </c>
      <c r="F37" s="48">
        <f>+F29-F34</f>
        <v>3.6339004410839593E-2</v>
      </c>
      <c r="Y37" s="160"/>
      <c r="Z37" s="160"/>
      <c r="AA37" s="160"/>
      <c r="AB37" s="160"/>
      <c r="AC37" s="160"/>
      <c r="AD37" s="160"/>
      <c r="AN37" s="1"/>
    </row>
    <row r="38" spans="1:40" ht="29" x14ac:dyDescent="0.35">
      <c r="A38" s="160" t="str">
        <f>+alph!B32</f>
        <v>Gas_AE</v>
      </c>
      <c r="B38" s="5" t="s">
        <v>405</v>
      </c>
      <c r="C38" s="5">
        <f>+C37/$C$49</f>
        <v>3.9454496354307213E-4</v>
      </c>
      <c r="D38" s="5"/>
      <c r="E38" s="59"/>
      <c r="F38" s="5">
        <f>+F37/$C$49</f>
        <v>1.7304287814685521E-4</v>
      </c>
      <c r="Y38" s="160"/>
      <c r="Z38" s="160"/>
      <c r="AA38" s="160"/>
      <c r="AB38" s="160"/>
      <c r="AC38" s="160"/>
      <c r="AD38" s="160"/>
    </row>
    <row r="39" spans="1:40" x14ac:dyDescent="0.35">
      <c r="A39" s="159" t="s">
        <v>902</v>
      </c>
      <c r="B39" s="159" t="s">
        <v>146</v>
      </c>
      <c r="C39" s="159" t="s">
        <v>900</v>
      </c>
      <c r="D39" s="159" t="s">
        <v>148</v>
      </c>
      <c r="E39" s="60" t="s">
        <v>63</v>
      </c>
      <c r="F39" s="159" t="s">
        <v>901</v>
      </c>
      <c r="Y39" s="160"/>
      <c r="Z39" s="160"/>
      <c r="AA39" s="160"/>
      <c r="AB39" s="160"/>
      <c r="AC39" s="160"/>
      <c r="AD39" s="160"/>
    </row>
    <row r="40" spans="1:40" ht="58" x14ac:dyDescent="0.35">
      <c r="A40" s="160" t="str">
        <f>+alph!B34</f>
        <v>Gas_AG</v>
      </c>
      <c r="B40" s="5" t="s">
        <v>429</v>
      </c>
      <c r="C40" s="5">
        <v>270</v>
      </c>
      <c r="D40" s="5" t="s">
        <v>231</v>
      </c>
      <c r="E40" s="59" t="s">
        <v>338</v>
      </c>
      <c r="F40" s="5">
        <v>270</v>
      </c>
      <c r="Y40" s="160"/>
      <c r="Z40" s="160"/>
      <c r="AA40" s="160"/>
      <c r="AB40" s="160"/>
      <c r="AC40" s="160"/>
      <c r="AD40" s="160"/>
    </row>
    <row r="41" spans="1:40" ht="29" x14ac:dyDescent="0.35">
      <c r="A41" s="160" t="str">
        <f>+alph!B35</f>
        <v>Gas_AH</v>
      </c>
      <c r="B41" s="5" t="s">
        <v>431</v>
      </c>
      <c r="C41" s="69">
        <f>12.5+(5)/37*0.1</f>
        <v>12.513513513513514</v>
      </c>
      <c r="D41" s="5" t="s">
        <v>149</v>
      </c>
      <c r="E41" s="59" t="s">
        <v>338</v>
      </c>
      <c r="F41" s="69">
        <f>13.1-(12)/37*0.1</f>
        <v>13.067567567567567</v>
      </c>
      <c r="Y41" s="160"/>
      <c r="Z41" s="160"/>
      <c r="AA41" s="160"/>
      <c r="AB41" s="160"/>
      <c r="AC41" s="160"/>
      <c r="AD41" s="160"/>
    </row>
    <row r="42" spans="1:40" ht="29" x14ac:dyDescent="0.35">
      <c r="A42" s="160" t="str">
        <f>+alph!B36</f>
        <v>Gas_AI</v>
      </c>
      <c r="B42" s="5" t="s">
        <v>432</v>
      </c>
      <c r="C42" s="69">
        <f>+L29</f>
        <v>12.656190926275995</v>
      </c>
      <c r="D42" s="5" t="s">
        <v>149</v>
      </c>
      <c r="E42" s="59" t="s">
        <v>419</v>
      </c>
      <c r="F42" s="48">
        <f>+M29</f>
        <v>13.15949905482042</v>
      </c>
      <c r="Y42" s="160"/>
      <c r="Z42" s="160"/>
      <c r="AA42" s="160"/>
      <c r="AB42" s="160"/>
      <c r="AC42" s="160"/>
      <c r="AD42" s="160"/>
    </row>
    <row r="43" spans="1:40" ht="43.5" x14ac:dyDescent="0.35">
      <c r="A43" s="160" t="str">
        <f>+alph!B37</f>
        <v>Gas_AJ</v>
      </c>
      <c r="B43" s="5" t="s">
        <v>433</v>
      </c>
      <c r="C43" s="69">
        <f>+C42-C41</f>
        <v>0.14267741276248103</v>
      </c>
      <c r="D43" s="5" t="s">
        <v>149</v>
      </c>
      <c r="E43" s="59"/>
      <c r="F43" s="69">
        <f>+F42-F41</f>
        <v>9.1931487252853827E-2</v>
      </c>
      <c r="Y43" s="160"/>
      <c r="Z43" s="160"/>
      <c r="AA43" s="160"/>
      <c r="AB43" s="160"/>
      <c r="AC43" s="160"/>
      <c r="AD43" s="160"/>
    </row>
    <row r="44" spans="1:40" ht="31.5" customHeight="1" x14ac:dyDescent="0.35">
      <c r="A44" s="160" t="str">
        <f>+alph!B38</f>
        <v>Gas_AK</v>
      </c>
      <c r="B44" s="222" t="s">
        <v>434</v>
      </c>
      <c r="C44" s="223"/>
      <c r="D44" s="223"/>
      <c r="E44" s="223"/>
      <c r="F44" s="206"/>
      <c r="Y44" s="160"/>
      <c r="Z44" s="160"/>
      <c r="AA44" s="160"/>
      <c r="AB44" s="160"/>
      <c r="AC44" s="160"/>
      <c r="AD44" s="160"/>
      <c r="AN44" s="1"/>
    </row>
    <row r="45" spans="1:40" ht="31.5" customHeight="1" x14ac:dyDescent="0.35">
      <c r="A45" s="160" t="str">
        <f>+alph!B39</f>
        <v>Gas_AL</v>
      </c>
      <c r="B45" s="155" t="s">
        <v>903</v>
      </c>
      <c r="C45" s="156">
        <v>0.02</v>
      </c>
      <c r="D45" s="156" t="s">
        <v>149</v>
      </c>
      <c r="E45" s="156" t="s">
        <v>904</v>
      </c>
      <c r="F45" s="157">
        <f>+C45</f>
        <v>0.02</v>
      </c>
      <c r="Y45" s="52"/>
      <c r="Z45" s="52"/>
      <c r="AA45" s="52"/>
      <c r="AB45" s="52"/>
      <c r="AC45" s="52"/>
      <c r="AD45" s="52"/>
      <c r="AN45" s="1"/>
    </row>
    <row r="46" spans="1:40" ht="43.5" x14ac:dyDescent="0.35">
      <c r="A46" s="160" t="str">
        <f>+alph!B40</f>
        <v>Gas_AM</v>
      </c>
      <c r="B46" s="5" t="s">
        <v>430</v>
      </c>
      <c r="C46" s="48">
        <f>+C29-C35-C45</f>
        <v>0.13285444234404545</v>
      </c>
      <c r="D46" s="5" t="s">
        <v>149</v>
      </c>
      <c r="E46" s="59" t="s">
        <v>404</v>
      </c>
      <c r="F46" s="48">
        <f>+F29-F35-F45</f>
        <v>0.12004270811454233</v>
      </c>
      <c r="AN46" s="1"/>
    </row>
    <row r="47" spans="1:40" ht="63" customHeight="1" x14ac:dyDescent="0.35">
      <c r="A47" s="160" t="str">
        <f>+alph!B41</f>
        <v>Gas_AN</v>
      </c>
      <c r="B47" s="222" t="s">
        <v>435</v>
      </c>
      <c r="C47" s="223"/>
      <c r="D47" s="223"/>
      <c r="E47" s="223"/>
      <c r="F47" s="206"/>
      <c r="AN47" s="1"/>
    </row>
    <row r="48" spans="1:40" s="33" customFormat="1" ht="63" customHeight="1" x14ac:dyDescent="0.5">
      <c r="A48" s="192" t="s">
        <v>961</v>
      </c>
      <c r="B48" s="174" t="s">
        <v>946</v>
      </c>
      <c r="C48" s="182"/>
      <c r="D48" s="182"/>
      <c r="E48" s="182"/>
      <c r="F48" s="183"/>
      <c r="AN48" s="42"/>
    </row>
    <row r="49" spans="1:40" ht="113.5" customHeight="1" x14ac:dyDescent="0.35">
      <c r="A49" s="160" t="str">
        <f>+alph!B42</f>
        <v>Gas_AO</v>
      </c>
      <c r="B49" s="5" t="s">
        <v>947</v>
      </c>
      <c r="C49" s="5">
        <v>210</v>
      </c>
      <c r="D49" s="5" t="s">
        <v>231</v>
      </c>
      <c r="E49" s="59" t="s">
        <v>710</v>
      </c>
      <c r="F49" s="5"/>
      <c r="AN49" s="1"/>
    </row>
    <row r="50" spans="1:40" x14ac:dyDescent="0.35">
      <c r="A50" s="160" t="str">
        <f>+alph!B43</f>
        <v>Gas_AP</v>
      </c>
      <c r="B50" s="5" t="s">
        <v>708</v>
      </c>
      <c r="C50" s="47">
        <f>11.4-(8)/24*0.1</f>
        <v>11.366666666666667</v>
      </c>
      <c r="D50" s="5" t="s">
        <v>149</v>
      </c>
      <c r="E50" s="59" t="s">
        <v>709</v>
      </c>
      <c r="F50" s="5">
        <f>+F46/$C$49</f>
        <v>5.7163194340258258E-4</v>
      </c>
    </row>
    <row r="51" spans="1:40" ht="43.5" x14ac:dyDescent="0.35">
      <c r="A51" s="160" t="str">
        <f>+alph!B44</f>
        <v>Gas_AQ</v>
      </c>
      <c r="B51" s="84" t="s">
        <v>711</v>
      </c>
      <c r="C51" s="47">
        <f>11.6+(11)/24*0.1</f>
        <v>11.645833333333332</v>
      </c>
      <c r="D51" s="84" t="s">
        <v>149</v>
      </c>
      <c r="E51" s="84" t="s">
        <v>712</v>
      </c>
      <c r="F51" s="77"/>
    </row>
    <row r="52" spans="1:40" ht="29" x14ac:dyDescent="0.35">
      <c r="A52" s="160" t="str">
        <f>+alph!B45</f>
        <v>Gas_AR</v>
      </c>
      <c r="B52" s="84" t="s">
        <v>713</v>
      </c>
      <c r="C52" s="113">
        <f>+(C51-C50)/C49</f>
        <v>1.3293650793650715E-3</v>
      </c>
      <c r="D52" s="2" t="s">
        <v>714</v>
      </c>
      <c r="E52" s="2"/>
      <c r="F52" s="55"/>
    </row>
    <row r="53" spans="1:40" x14ac:dyDescent="0.35">
      <c r="A53" s="160" t="str">
        <f>+alph!B46</f>
        <v>Gas_AS</v>
      </c>
      <c r="B53" s="84" t="s">
        <v>715</v>
      </c>
      <c r="C53" s="68">
        <f>+C52*60</f>
        <v>7.9761904761904284E-2</v>
      </c>
      <c r="D53" s="71" t="s">
        <v>716</v>
      </c>
      <c r="E53" s="2"/>
      <c r="F53" s="55"/>
    </row>
    <row r="54" spans="1:40" x14ac:dyDescent="0.35">
      <c r="A54" s="160" t="str">
        <f>+alph!B47</f>
        <v>Gas_AT</v>
      </c>
      <c r="B54" s="84"/>
      <c r="C54" s="2"/>
      <c r="D54" s="2"/>
      <c r="E54" s="2"/>
    </row>
    <row r="55" spans="1:40" x14ac:dyDescent="0.35">
      <c r="A55" s="160" t="str">
        <f>+alph!B48</f>
        <v>Gas_AU</v>
      </c>
      <c r="B55" s="16" t="s">
        <v>948</v>
      </c>
    </row>
    <row r="56" spans="1:40" ht="29" x14ac:dyDescent="0.35">
      <c r="A56" s="160" t="str">
        <f>+alph!B49</f>
        <v>Gas_AV</v>
      </c>
      <c r="B56" s="5" t="s">
        <v>67</v>
      </c>
      <c r="C56" s="5" t="s">
        <v>378</v>
      </c>
      <c r="D56" s="5"/>
      <c r="E56" s="5"/>
      <c r="F56" s="55"/>
    </row>
    <row r="57" spans="1:40" ht="58" x14ac:dyDescent="0.35">
      <c r="A57" s="160" t="str">
        <f>+alph!B50</f>
        <v>Gas_AW</v>
      </c>
      <c r="B57" s="5" t="s">
        <v>389</v>
      </c>
      <c r="C57" s="5">
        <v>50</v>
      </c>
      <c r="D57" s="5" t="s">
        <v>231</v>
      </c>
      <c r="E57" s="5" t="s">
        <v>380</v>
      </c>
      <c r="F57" s="55"/>
    </row>
    <row r="58" spans="1:40" x14ac:dyDescent="0.35">
      <c r="A58" s="160" t="str">
        <f>+alph!B51</f>
        <v>Gas_AX</v>
      </c>
      <c r="B58" s="5" t="s">
        <v>372</v>
      </c>
      <c r="C58" s="5">
        <v>70</v>
      </c>
      <c r="D58" s="5" t="s">
        <v>121</v>
      </c>
      <c r="E58" s="5" t="s">
        <v>379</v>
      </c>
      <c r="F58" s="55"/>
      <c r="G58" s="24"/>
    </row>
    <row r="59" spans="1:40" x14ac:dyDescent="0.35">
      <c r="A59" s="160" t="str">
        <f>+alph!B52</f>
        <v>Gas_AY</v>
      </c>
      <c r="B59" s="5" t="s">
        <v>373</v>
      </c>
      <c r="C59" s="5">
        <v>50</v>
      </c>
      <c r="D59" s="5" t="s">
        <v>121</v>
      </c>
      <c r="E59" s="5" t="s">
        <v>379</v>
      </c>
      <c r="F59" s="55"/>
    </row>
    <row r="60" spans="1:40" x14ac:dyDescent="0.35">
      <c r="A60" s="160" t="str">
        <f>+alph!B53</f>
        <v>Gas_AZ</v>
      </c>
      <c r="B60" s="5" t="s">
        <v>371</v>
      </c>
      <c r="C60" s="5">
        <v>12.58</v>
      </c>
      <c r="D60" s="5" t="s">
        <v>149</v>
      </c>
      <c r="E60" s="5" t="s">
        <v>379</v>
      </c>
      <c r="F60" s="55"/>
    </row>
    <row r="61" spans="1:40" x14ac:dyDescent="0.35">
      <c r="A61" s="160" t="str">
        <f>+alph!B54</f>
        <v>Gas_BA</v>
      </c>
      <c r="B61" s="5" t="s">
        <v>382</v>
      </c>
      <c r="C61" s="48">
        <f>+gas!C8</f>
        <v>14.15</v>
      </c>
      <c r="D61" s="5" t="s">
        <v>149</v>
      </c>
      <c r="E61" s="5"/>
      <c r="F61" s="55"/>
    </row>
    <row r="62" spans="1:40" x14ac:dyDescent="0.35">
      <c r="A62" s="160" t="str">
        <f>+alph!B55</f>
        <v>Gas_BB</v>
      </c>
      <c r="B62" s="5" t="s">
        <v>383</v>
      </c>
      <c r="C62" s="48">
        <f>+C60+C61</f>
        <v>26.73</v>
      </c>
      <c r="D62" s="5"/>
      <c r="E62" s="5" t="str">
        <f>+TEXT(A60,0)&amp;"+"&amp;TEXT(A61,0)</f>
        <v>Gas_AZ+Gas_BA</v>
      </c>
      <c r="F62" s="55"/>
    </row>
    <row r="63" spans="1:40" x14ac:dyDescent="0.35">
      <c r="A63" s="160" t="str">
        <f>+alph!B56</f>
        <v>Gas_BC</v>
      </c>
      <c r="B63" s="5" t="s">
        <v>384</v>
      </c>
      <c r="C63" s="48">
        <f>+C58+$C$5</f>
        <v>530</v>
      </c>
      <c r="D63" s="5" t="s">
        <v>138</v>
      </c>
      <c r="E63" s="5"/>
      <c r="F63" s="55"/>
    </row>
    <row r="64" spans="1:40" x14ac:dyDescent="0.35">
      <c r="A64" s="160" t="str">
        <f>+alph!B57</f>
        <v>Gas_BD</v>
      </c>
      <c r="B64" s="5" t="s">
        <v>385</v>
      </c>
      <c r="C64" s="48">
        <f>+C59+$C$5</f>
        <v>510</v>
      </c>
      <c r="D64" s="5" t="s">
        <v>138</v>
      </c>
      <c r="E64" s="5"/>
      <c r="F64" s="55"/>
    </row>
    <row r="65" spans="1:40" x14ac:dyDescent="0.35">
      <c r="A65" s="160" t="str">
        <f>+alph!B58</f>
        <v>Gas_BE</v>
      </c>
      <c r="B65" s="5" t="s">
        <v>386</v>
      </c>
      <c r="C65" s="48">
        <f>+C62*C64/C63</f>
        <v>25.721320754716984</v>
      </c>
      <c r="D65" s="5"/>
      <c r="E65" s="5"/>
      <c r="F65" s="55"/>
    </row>
    <row r="66" spans="1:40" x14ac:dyDescent="0.35">
      <c r="A66" s="160" t="str">
        <f>+alph!B59</f>
        <v>Gas_BF</v>
      </c>
      <c r="B66" s="5" t="s">
        <v>407</v>
      </c>
      <c r="C66" s="48">
        <f>+C65-C61</f>
        <v>11.571320754716984</v>
      </c>
      <c r="D66" s="5"/>
      <c r="E66" s="5"/>
      <c r="F66" s="55"/>
    </row>
    <row r="67" spans="1:40" x14ac:dyDescent="0.35">
      <c r="A67" s="160" t="str">
        <f>+alph!B60</f>
        <v>Gas_BG</v>
      </c>
      <c r="B67" s="5" t="s">
        <v>381</v>
      </c>
      <c r="C67" s="5">
        <v>11.56</v>
      </c>
      <c r="D67" s="5" t="s">
        <v>149</v>
      </c>
      <c r="E67" s="5" t="s">
        <v>379</v>
      </c>
      <c r="F67" s="55"/>
    </row>
    <row r="68" spans="1:40" x14ac:dyDescent="0.35">
      <c r="A68" s="160" t="str">
        <f>+alph!B61</f>
        <v>Gas_BH</v>
      </c>
      <c r="B68" s="5" t="s">
        <v>388</v>
      </c>
      <c r="C68" s="5">
        <v>88</v>
      </c>
      <c r="D68" s="5" t="s">
        <v>231</v>
      </c>
      <c r="E68" s="5" t="s">
        <v>379</v>
      </c>
      <c r="F68" s="55"/>
    </row>
    <row r="69" spans="1:40" ht="29" x14ac:dyDescent="0.35">
      <c r="A69" s="160" t="str">
        <f>+alph!B62</f>
        <v>Gas_BI</v>
      </c>
      <c r="B69" s="5" t="s">
        <v>390</v>
      </c>
      <c r="C69" s="5">
        <f>+C68-C57</f>
        <v>38</v>
      </c>
      <c r="D69" s="5"/>
      <c r="E69" s="5"/>
      <c r="F69" s="55"/>
    </row>
    <row r="70" spans="1:40" x14ac:dyDescent="0.35">
      <c r="A70" s="160" t="str">
        <f>+alph!B63</f>
        <v>Gas_BJ</v>
      </c>
      <c r="B70" s="5" t="s">
        <v>391</v>
      </c>
      <c r="C70" s="5">
        <v>11.55</v>
      </c>
      <c r="D70" s="5" t="s">
        <v>231</v>
      </c>
      <c r="E70" s="5" t="s">
        <v>379</v>
      </c>
      <c r="F70" s="55"/>
      <c r="AN70" s="1"/>
    </row>
    <row r="71" spans="1:40" ht="58" x14ac:dyDescent="0.35">
      <c r="A71" s="160" t="str">
        <f>+alph!B64</f>
        <v>Gas_BK</v>
      </c>
      <c r="B71" s="5" t="s">
        <v>408</v>
      </c>
      <c r="C71" s="48">
        <f>+C66-C70</f>
        <v>2.1320754716983359E-2</v>
      </c>
      <c r="D71" s="5" t="s">
        <v>149</v>
      </c>
      <c r="E71" s="5" t="s">
        <v>409</v>
      </c>
      <c r="F71" s="55"/>
      <c r="AN71" s="1"/>
    </row>
    <row r="72" spans="1:40" x14ac:dyDescent="0.35">
      <c r="A72" s="160" t="str">
        <f>+alph!B65</f>
        <v>Gas_BL</v>
      </c>
      <c r="B72" s="5"/>
      <c r="C72" s="48"/>
      <c r="D72" s="5"/>
      <c r="E72" s="5"/>
      <c r="F72" s="55"/>
      <c r="AN72" s="1"/>
    </row>
    <row r="73" spans="1:40" ht="29" x14ac:dyDescent="0.35">
      <c r="A73" s="160" t="str">
        <f>+alph!B66</f>
        <v>Gas_BM</v>
      </c>
      <c r="B73" s="5" t="s">
        <v>392</v>
      </c>
      <c r="C73" s="5">
        <f>+C71/C69*60</f>
        <v>3.366434955313162E-2</v>
      </c>
      <c r="D73" s="5" t="s">
        <v>149</v>
      </c>
      <c r="E73" s="5"/>
      <c r="F73" s="55"/>
      <c r="AN73" s="1"/>
    </row>
    <row r="76" spans="1:40" x14ac:dyDescent="0.35">
      <c r="B76" s="167" t="s">
        <v>940</v>
      </c>
    </row>
    <row r="77" spans="1:40" ht="43.5" x14ac:dyDescent="0.35">
      <c r="A77" s="152" t="s">
        <v>145</v>
      </c>
      <c r="B77" s="152" t="str">
        <f t="shared" ref="B77:D77" si="22">+B17</f>
        <v>Scenario</v>
      </c>
      <c r="C77" s="152" t="str">
        <f t="shared" si="22"/>
        <v>Exponent lab test, Patriots ball</v>
      </c>
      <c r="D77" s="154" t="str">
        <f t="shared" si="22"/>
        <v>Units</v>
      </c>
      <c r="E77" s="152" t="s">
        <v>63</v>
      </c>
    </row>
    <row r="78" spans="1:40" x14ac:dyDescent="0.35">
      <c r="A78" s="153" t="str">
        <f t="shared" ref="A78:E78" si="23">+A18</f>
        <v>Gas_M</v>
      </c>
      <c r="B78" s="153" t="str">
        <f t="shared" si="23"/>
        <v>Apparent starting  ball pressure</v>
      </c>
      <c r="C78" s="153">
        <f t="shared" si="23"/>
        <v>12.48</v>
      </c>
      <c r="D78" s="17" t="str">
        <f t="shared" si="23"/>
        <v>psi</v>
      </c>
      <c r="E78" s="153" t="str">
        <f t="shared" si="23"/>
        <v>Exponent Figure 21</v>
      </c>
    </row>
    <row r="79" spans="1:40" x14ac:dyDescent="0.35">
      <c r="A79" s="153" t="str">
        <f t="shared" ref="A79:E79" si="24">+A21</f>
        <v>Gas_P</v>
      </c>
      <c r="B79" s="153" t="str">
        <f t="shared" si="24"/>
        <v>Starting absolute pressure</v>
      </c>
      <c r="C79" s="153">
        <f t="shared" si="24"/>
        <v>26.630000000000003</v>
      </c>
      <c r="D79" s="17" t="str">
        <f t="shared" si="24"/>
        <v>psi</v>
      </c>
      <c r="E79" s="153" t="str">
        <f t="shared" si="24"/>
        <v>above plus outiside air pressure</v>
      </c>
    </row>
    <row r="80" spans="1:40" x14ac:dyDescent="0.35">
      <c r="A80" s="153" t="str">
        <f t="shared" ref="A80:E80" si="25">+A22</f>
        <v>Gas_Q</v>
      </c>
      <c r="B80" s="153" t="str">
        <f t="shared" si="25"/>
        <v>Starting temperature</v>
      </c>
      <c r="C80" s="153">
        <f t="shared" si="25"/>
        <v>69</v>
      </c>
      <c r="D80" s="17" t="str">
        <f t="shared" si="25"/>
        <v>F</v>
      </c>
      <c r="E80" s="153" t="str">
        <f t="shared" si="25"/>
        <v>Exponent Figure 21 description</v>
      </c>
    </row>
    <row r="81" spans="1:5" x14ac:dyDescent="0.35">
      <c r="A81" s="153" t="str">
        <f t="shared" ref="A81:E81" si="26">+A23</f>
        <v>Gas_R</v>
      </c>
      <c r="B81" s="153" t="str">
        <f t="shared" si="26"/>
        <v>Ending temperature</v>
      </c>
      <c r="C81" s="153">
        <f t="shared" si="26"/>
        <v>48</v>
      </c>
      <c r="D81" s="17" t="str">
        <f t="shared" si="26"/>
        <v>F</v>
      </c>
      <c r="E81" s="153" t="str">
        <f t="shared" si="26"/>
        <v>Exponent Figure 21 description</v>
      </c>
    </row>
    <row r="82" spans="1:5" x14ac:dyDescent="0.35">
      <c r="A82" s="153" t="str">
        <f t="shared" ref="A82:E82" si="27">+A26</f>
        <v>Gas_U</v>
      </c>
      <c r="B82" s="153" t="str">
        <f t="shared" si="27"/>
        <v>Absolute start temperature</v>
      </c>
      <c r="C82" s="153">
        <f t="shared" si="27"/>
        <v>529</v>
      </c>
      <c r="D82" s="17" t="str">
        <f t="shared" si="27"/>
        <v>R</v>
      </c>
      <c r="E82" s="153" t="str">
        <f t="shared" si="27"/>
        <v>above start plus 460</v>
      </c>
    </row>
    <row r="83" spans="1:5" x14ac:dyDescent="0.35">
      <c r="A83" s="153" t="str">
        <f t="shared" ref="A83:E83" si="28">+A27</f>
        <v>Gas_V</v>
      </c>
      <c r="B83" s="153" t="str">
        <f t="shared" si="28"/>
        <v>Absolute end temperature</v>
      </c>
      <c r="C83" s="153">
        <f t="shared" si="28"/>
        <v>508</v>
      </c>
      <c r="D83" s="17" t="str">
        <f t="shared" si="28"/>
        <v>R</v>
      </c>
      <c r="E83" s="153" t="str">
        <f t="shared" si="28"/>
        <v>above ending plus 460</v>
      </c>
    </row>
    <row r="84" spans="1:5" ht="29" x14ac:dyDescent="0.35">
      <c r="A84" s="153" t="str">
        <f t="shared" ref="A84:E84" si="29">+A28</f>
        <v>Gas_W</v>
      </c>
      <c r="B84" s="153" t="str">
        <f t="shared" si="29"/>
        <v>End absolute pressure</v>
      </c>
      <c r="C84" s="47">
        <f t="shared" si="29"/>
        <v>25.572854442344045</v>
      </c>
      <c r="D84" s="17" t="str">
        <f t="shared" si="29"/>
        <v>psi</v>
      </c>
      <c r="E84" s="153" t="str">
        <f t="shared" si="29"/>
        <v>Gas law: P_new=P_old*T_New/T_old</v>
      </c>
    </row>
    <row r="85" spans="1:5" ht="29" x14ac:dyDescent="0.35">
      <c r="A85" s="153" t="str">
        <f>+A29</f>
        <v>Gas_X</v>
      </c>
      <c r="B85" s="153" t="str">
        <f t="shared" ref="B85:E85" si="30">+B29</f>
        <v>End ball pressure</v>
      </c>
      <c r="C85" s="47">
        <f t="shared" si="30"/>
        <v>11.422854442344045</v>
      </c>
      <c r="D85" s="17" t="str">
        <f t="shared" si="30"/>
        <v>psi</v>
      </c>
      <c r="E85" s="153" t="str">
        <f t="shared" si="30"/>
        <v>Absolute pressure - outside pressure</v>
      </c>
    </row>
    <row r="86" spans="1:5" x14ac:dyDescent="0.35">
      <c r="A86" s="153" t="str">
        <f t="shared" ref="A86:D86" si="31">+A30</f>
        <v>Gas_Y</v>
      </c>
      <c r="B86" s="153" t="str">
        <f t="shared" si="31"/>
        <v>Drop due to gas law</v>
      </c>
      <c r="C86" s="47">
        <f t="shared" si="31"/>
        <v>1.0571455576559554</v>
      </c>
      <c r="D86" s="17" t="str">
        <f t="shared" si="31"/>
        <v>psi</v>
      </c>
      <c r="E86" s="153" t="str">
        <f>+TEXT(A78,0)&amp;" - "&amp;TEXT(A85,0)</f>
        <v>Gas_M - Gas_X</v>
      </c>
    </row>
  </sheetData>
  <mergeCells count="2">
    <mergeCell ref="B47:F47"/>
    <mergeCell ref="B44:F44"/>
  </mergeCells>
  <hyperlinks>
    <hyperlink ref="E7" r:id="rId1"/>
    <hyperlink ref="E8" r:id="rId2" display="http://www.mide.com/pages/air-pressure-at-altitude-calculator "/>
    <hyperlink ref="A3" location="bookmark_index" display="Index"/>
    <hyperlink ref="A15" location="bookmark_index" display="Index"/>
    <hyperlink ref="A33" location="bookmark_index" display="Index"/>
    <hyperlink ref="A48" location="bookmark_index" display="Index"/>
  </hyperlinks>
  <pageMargins left="0.7" right="0.7" top="0.75" bottom="0.75" header="0.3" footer="0.3"/>
  <pageSetup orientation="portrait" horizontalDpi="1200" verticalDpi="1200" r:id="rId3"/>
  <headerFooter>
    <oddFooter xml:space="preserve">&amp;L&amp;"arial,Regular"&amp;KBBBBBB
</oddFooter>
    <evenFooter xml:space="preserve">&amp;L&amp;"arial,Regular"&amp;KBBBBBB
</evenFooter>
    <firstFooter xml:space="preserve">&amp;L&amp;"arial,Regular"&amp;KBBBBBB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88"/>
  <sheetViews>
    <sheetView topLeftCell="F136" zoomScale="130" zoomScaleNormal="130" workbookViewId="0">
      <selection activeCell="F137" sqref="F137"/>
    </sheetView>
  </sheetViews>
  <sheetFormatPr defaultRowHeight="14.5" x14ac:dyDescent="0.35"/>
  <cols>
    <col min="2" max="2" width="12.1796875" customWidth="1"/>
    <col min="3" max="3" width="10.08984375" customWidth="1"/>
    <col min="4" max="4" width="10.54296875" customWidth="1"/>
  </cols>
  <sheetData>
    <row r="3" spans="1:15" x14ac:dyDescent="0.35">
      <c r="A3" t="s">
        <v>486</v>
      </c>
      <c r="B3" t="s">
        <v>487</v>
      </c>
      <c r="C3" t="s">
        <v>235</v>
      </c>
      <c r="D3" t="s">
        <v>488</v>
      </c>
      <c r="E3" t="s">
        <v>499</v>
      </c>
      <c r="F3" t="s">
        <v>491</v>
      </c>
      <c r="G3" t="s">
        <v>496</v>
      </c>
      <c r="H3" t="s">
        <v>489</v>
      </c>
      <c r="I3" t="s">
        <v>490</v>
      </c>
      <c r="J3" t="s">
        <v>492</v>
      </c>
      <c r="K3" t="s">
        <v>493</v>
      </c>
      <c r="L3" t="s">
        <v>100</v>
      </c>
      <c r="M3" t="s">
        <v>99</v>
      </c>
      <c r="N3" t="s">
        <v>494</v>
      </c>
      <c r="O3" t="s">
        <v>495</v>
      </c>
    </row>
    <row r="4" spans="1:15" x14ac:dyDescent="0.35">
      <c r="A4" s="24">
        <f>+main!C80</f>
        <v>4</v>
      </c>
      <c r="B4">
        <v>11.8</v>
      </c>
    </row>
    <row r="5" spans="1:15" x14ac:dyDescent="0.35">
      <c r="A5" s="24">
        <f>+A4+main!$C$83</f>
        <v>4.45</v>
      </c>
      <c r="B5">
        <v>11.2</v>
      </c>
    </row>
    <row r="6" spans="1:15" x14ac:dyDescent="0.35">
      <c r="A6" s="24">
        <f>+A5+main!$C$83</f>
        <v>4.9000000000000004</v>
      </c>
      <c r="B6">
        <v>11.5</v>
      </c>
    </row>
    <row r="7" spans="1:15" x14ac:dyDescent="0.35">
      <c r="A7" s="24">
        <f>+A6+main!$C$83</f>
        <v>5.3500000000000005</v>
      </c>
      <c r="B7">
        <v>11</v>
      </c>
    </row>
    <row r="8" spans="1:15" x14ac:dyDescent="0.35">
      <c r="A8" s="24">
        <f>+A7+main!$C$83</f>
        <v>5.8000000000000007</v>
      </c>
      <c r="B8">
        <v>11.45</v>
      </c>
    </row>
    <row r="9" spans="1:15" x14ac:dyDescent="0.35">
      <c r="A9" s="24">
        <f>+A8+main!$C$83</f>
        <v>6.2500000000000009</v>
      </c>
      <c r="B9">
        <v>11.95</v>
      </c>
    </row>
    <row r="10" spans="1:15" x14ac:dyDescent="0.35">
      <c r="A10" s="24">
        <f>+A9+main!$C$83</f>
        <v>6.7000000000000011</v>
      </c>
      <c r="B10">
        <v>12.3</v>
      </c>
    </row>
    <row r="11" spans="1:15" x14ac:dyDescent="0.35">
      <c r="A11" s="24">
        <f>+A10+main!$C$83</f>
        <v>7.1500000000000012</v>
      </c>
      <c r="B11">
        <v>11.55</v>
      </c>
    </row>
    <row r="12" spans="1:15" x14ac:dyDescent="0.35">
      <c r="A12" s="24">
        <f>+A11+main!$C$83</f>
        <v>7.6000000000000014</v>
      </c>
      <c r="B12">
        <v>11.35</v>
      </c>
    </row>
    <row r="13" spans="1:15" x14ac:dyDescent="0.35">
      <c r="A13" s="24">
        <f>+A12+main!$C$83</f>
        <v>8.0500000000000007</v>
      </c>
      <c r="B13">
        <v>10.9</v>
      </c>
    </row>
    <row r="14" spans="1:15" x14ac:dyDescent="0.35">
      <c r="A14" s="24">
        <f>+A13+main!$C$83</f>
        <v>8.5</v>
      </c>
      <c r="B14">
        <v>11.35</v>
      </c>
    </row>
    <row r="15" spans="1:15" x14ac:dyDescent="0.35">
      <c r="A15" s="35">
        <f>+main!C88</f>
        <v>12.2501</v>
      </c>
      <c r="C15">
        <v>12.7</v>
      </c>
    </row>
    <row r="16" spans="1:15" x14ac:dyDescent="0.35">
      <c r="A16" s="35">
        <f>+main!C89</f>
        <v>12.583399999999999</v>
      </c>
      <c r="C16">
        <v>12.75</v>
      </c>
    </row>
    <row r="17" spans="1:17" x14ac:dyDescent="0.35">
      <c r="A17" s="35">
        <f>+main!C90</f>
        <v>12.916699999999999</v>
      </c>
      <c r="C17">
        <v>12.95</v>
      </c>
    </row>
    <row r="18" spans="1:17" x14ac:dyDescent="0.35">
      <c r="A18" s="35">
        <f>+main!C91</f>
        <v>13.249999999999998</v>
      </c>
      <c r="C18">
        <v>12.55</v>
      </c>
    </row>
    <row r="19" spans="1:17" x14ac:dyDescent="0.35">
      <c r="A19">
        <f>+'each ball vs theory'!I11</f>
        <v>0</v>
      </c>
      <c r="D19" s="24">
        <f>+'each ball vs theory'!J11</f>
        <v>10.916089398023031</v>
      </c>
      <c r="E19" s="24"/>
      <c r="F19" s="24"/>
      <c r="G19" s="24"/>
    </row>
    <row r="20" spans="1:17" x14ac:dyDescent="0.35">
      <c r="A20">
        <f>+'each ball vs theory'!I12</f>
        <v>4</v>
      </c>
      <c r="D20" s="24">
        <f>+'each ball vs theory'!J12</f>
        <v>10.959301027715801</v>
      </c>
      <c r="E20" s="24"/>
      <c r="F20" s="24"/>
      <c r="G20" s="24"/>
    </row>
    <row r="21" spans="1:17" x14ac:dyDescent="0.35">
      <c r="A21">
        <f>+'each ball vs theory'!I13</f>
        <v>8.0500000000000007</v>
      </c>
      <c r="D21" s="24">
        <f>+'each ball vs theory'!J13</f>
        <v>11.01534893758601</v>
      </c>
      <c r="E21" s="24"/>
      <c r="F21" s="24"/>
      <c r="G21" s="24"/>
      <c r="Q21" t="s">
        <v>236</v>
      </c>
    </row>
    <row r="22" spans="1:17" x14ac:dyDescent="0.35">
      <c r="A22">
        <f>+'each ball vs theory'!I16</f>
        <v>13</v>
      </c>
      <c r="D22" s="24">
        <f>+'each ball vs theory'!J16</f>
        <v>11.073840483145082</v>
      </c>
      <c r="E22" s="24"/>
      <c r="F22" s="24"/>
      <c r="G22" s="24"/>
    </row>
    <row r="23" spans="1:17" x14ac:dyDescent="0.35">
      <c r="A23" s="24">
        <f>+'each ball vs theory'!I28</f>
        <v>0</v>
      </c>
      <c r="D23" s="24"/>
      <c r="E23" s="24">
        <f>+'each ball vs theory'!J28</f>
        <v>10.968589398023031</v>
      </c>
      <c r="F23" s="24"/>
      <c r="G23" s="24"/>
    </row>
    <row r="24" spans="1:17" x14ac:dyDescent="0.35">
      <c r="A24" s="24">
        <f>+'each ball vs theory'!I29</f>
        <v>3</v>
      </c>
      <c r="D24" s="24"/>
      <c r="E24" s="24">
        <f>+'each ball vs theory'!J29</f>
        <v>11.004374516797483</v>
      </c>
      <c r="F24" s="24"/>
      <c r="G24" s="24"/>
    </row>
    <row r="25" spans="1:17" x14ac:dyDescent="0.35">
      <c r="A25" s="24">
        <f>+'each ball vs theory'!I30</f>
        <v>6</v>
      </c>
      <c r="D25" s="24"/>
      <c r="E25" s="24">
        <f>+'each ball vs theory'!J30</f>
        <v>11.055560789568926</v>
      </c>
      <c r="F25" s="24"/>
      <c r="G25" s="24"/>
    </row>
    <row r="26" spans="1:17" x14ac:dyDescent="0.35">
      <c r="A26" s="24">
        <f>+'each ball vs theory'!I31</f>
        <v>9</v>
      </c>
      <c r="D26" s="24"/>
      <c r="E26" s="24">
        <f>+'each ball vs theory'!J31</f>
        <v>11.10674706234037</v>
      </c>
      <c r="F26" s="24"/>
      <c r="G26" s="24"/>
    </row>
    <row r="27" spans="1:17" x14ac:dyDescent="0.35">
      <c r="A27" s="24">
        <f>+'each ball vs theory'!I33</f>
        <v>13</v>
      </c>
      <c r="D27" s="24"/>
      <c r="E27" s="24">
        <f>+'each ball vs theory'!J33</f>
        <v>11.165314503518701</v>
      </c>
      <c r="F27" s="24"/>
      <c r="G27" s="24"/>
    </row>
    <row r="28" spans="1:17" x14ac:dyDescent="0.35">
      <c r="A28" s="24">
        <f>+'each ball vs theory'!I39</f>
        <v>0</v>
      </c>
      <c r="F28" s="24">
        <f>+'each ball vs theory'!J39</f>
        <v>10.916089398023031</v>
      </c>
      <c r="G28" s="24"/>
    </row>
    <row r="29" spans="1:17" x14ac:dyDescent="0.35">
      <c r="A29" s="24">
        <f>+'each ball vs theory'!I40</f>
        <v>2</v>
      </c>
      <c r="F29" s="24">
        <f>+'each ball vs theory'!J40</f>
        <v>10.948330466416495</v>
      </c>
      <c r="G29" s="24"/>
    </row>
    <row r="30" spans="1:17" x14ac:dyDescent="0.35">
      <c r="A30" s="24">
        <f>+'each ball vs theory'!I41</f>
        <v>4.45</v>
      </c>
      <c r="F30" s="24">
        <f>+'each ball vs theory'!J41</f>
        <v>11.002702580272747</v>
      </c>
      <c r="G30" s="24"/>
    </row>
    <row r="31" spans="1:17" x14ac:dyDescent="0.35">
      <c r="A31" s="24">
        <f>+'each ball vs theory'!I42</f>
        <v>5.35</v>
      </c>
      <c r="F31" s="24">
        <f>+'each ball vs theory'!J42</f>
        <v>11.022676009852594</v>
      </c>
      <c r="G31" s="24"/>
    </row>
    <row r="32" spans="1:17" x14ac:dyDescent="0.35">
      <c r="A32" s="24">
        <f>+'each ball vs theory'!I43</f>
        <v>8.0500000000000007</v>
      </c>
      <c r="F32" s="24">
        <f>+'each ball vs theory'!J43</f>
        <v>11.07550091996529</v>
      </c>
      <c r="G32" s="24"/>
    </row>
    <row r="33" spans="1:9" x14ac:dyDescent="0.35">
      <c r="A33" s="24">
        <f>+A28</f>
        <v>0</v>
      </c>
      <c r="F33" s="24"/>
      <c r="G33" s="24">
        <f>+'each ball vs theory'!J56</f>
        <v>10.968589398023031</v>
      </c>
    </row>
    <row r="34" spans="1:9" x14ac:dyDescent="0.35">
      <c r="A34" s="24">
        <f t="shared" ref="A34:A37" si="0">+A29</f>
        <v>2</v>
      </c>
      <c r="F34" s="24"/>
      <c r="G34" s="24">
        <f>+'each ball vs theory'!J57</f>
        <v>11.007554489971598</v>
      </c>
    </row>
    <row r="35" spans="1:9" x14ac:dyDescent="0.35">
      <c r="A35" s="24">
        <f t="shared" si="0"/>
        <v>4.45</v>
      </c>
      <c r="F35" s="24"/>
      <c r="G35" s="24">
        <f>+'each ball vs theory'!J58</f>
        <v>11.074153141254907</v>
      </c>
    </row>
    <row r="36" spans="1:9" x14ac:dyDescent="0.35">
      <c r="A36" s="24">
        <f t="shared" si="0"/>
        <v>5.35</v>
      </c>
      <c r="F36" s="24"/>
      <c r="G36" s="24">
        <f>+'each ball vs theory'!J59</f>
        <v>11.098617951930409</v>
      </c>
    </row>
    <row r="37" spans="1:9" x14ac:dyDescent="0.35">
      <c r="A37" s="24">
        <f t="shared" si="0"/>
        <v>8.0500000000000007</v>
      </c>
      <c r="F37" s="24"/>
      <c r="G37" s="24">
        <f>+'each ball vs theory'!J60</f>
        <v>11.165151262569902</v>
      </c>
    </row>
    <row r="38" spans="1:9" x14ac:dyDescent="0.35">
      <c r="A38" s="24"/>
      <c r="F38" s="24"/>
      <c r="G38" s="24"/>
    </row>
    <row r="39" spans="1:9" x14ac:dyDescent="0.35">
      <c r="A39" s="24">
        <f>+'each ball vs theory'!I70</f>
        <v>3.65</v>
      </c>
      <c r="H39" s="24">
        <f>+'each ball vs theory'!J70</f>
        <v>11.399959811587397</v>
      </c>
    </row>
    <row r="40" spans="1:9" x14ac:dyDescent="0.35">
      <c r="A40" s="24">
        <f>+'each ball vs theory'!I71</f>
        <v>4.9000000000000004</v>
      </c>
      <c r="H40" s="24">
        <f>+'each ball vs theory'!J71</f>
        <v>11.392646791328168</v>
      </c>
    </row>
    <row r="41" spans="1:9" x14ac:dyDescent="0.35">
      <c r="A41" s="24">
        <f>+'each ball vs theory'!I72</f>
        <v>5.8</v>
      </c>
      <c r="H41" s="24">
        <f>+'each ball vs theory'!J72</f>
        <v>11.387381416741526</v>
      </c>
    </row>
    <row r="42" spans="1:9" x14ac:dyDescent="0.35">
      <c r="A42" s="24">
        <f>+'each ball vs theory'!I73</f>
        <v>7.15</v>
      </c>
      <c r="H42" s="24">
        <f>+'each ball vs theory'!J73</f>
        <v>11.37728944878379</v>
      </c>
    </row>
    <row r="43" spans="1:9" x14ac:dyDescent="0.35">
      <c r="A43" s="24">
        <f>+'each ball vs theory'!I74</f>
        <v>7.6</v>
      </c>
      <c r="H43" s="24">
        <f>+'each ball vs theory'!J74</f>
        <v>11.374656761490469</v>
      </c>
    </row>
    <row r="44" spans="1:9" x14ac:dyDescent="0.35">
      <c r="A44" s="24">
        <f>+'each ball vs theory'!I75</f>
        <v>8.5</v>
      </c>
      <c r="H44" s="24">
        <f>+'each ball vs theory'!J75</f>
        <v>11.369391386903825</v>
      </c>
    </row>
    <row r="45" spans="1:9" x14ac:dyDescent="0.35">
      <c r="A45" s="24">
        <f>+'each ball vs theory'!I77</f>
        <v>3.65</v>
      </c>
      <c r="I45" s="24">
        <f>+'each ball vs theory'!J77</f>
        <v>11.540172144176099</v>
      </c>
    </row>
    <row r="46" spans="1:9" x14ac:dyDescent="0.35">
      <c r="A46" s="24">
        <f>+'each ball vs theory'!I78</f>
        <v>4.9000000000000004</v>
      </c>
      <c r="I46" s="24">
        <f>+'each ball vs theory'!J78</f>
        <v>11.529086577021161</v>
      </c>
    </row>
    <row r="47" spans="1:9" x14ac:dyDescent="0.35">
      <c r="A47" s="24">
        <f>+'each ball vs theory'!I79</f>
        <v>5.8</v>
      </c>
      <c r="I47" s="24">
        <f>+'each ball vs theory'!J79</f>
        <v>11.521104968669603</v>
      </c>
    </row>
    <row r="48" spans="1:9" x14ac:dyDescent="0.35">
      <c r="A48" s="24">
        <f>+'each ball vs theory'!I80</f>
        <v>7.15</v>
      </c>
      <c r="I48" s="24">
        <f>+'each ball vs theory'!J80</f>
        <v>11.513931954628172</v>
      </c>
    </row>
    <row r="49" spans="1:11" x14ac:dyDescent="0.35">
      <c r="A49" s="24">
        <f>+'each ball vs theory'!I81</f>
        <v>7.6</v>
      </c>
      <c r="I49" s="24">
        <f>+'each ball vs theory'!J81</f>
        <v>11.511819175946876</v>
      </c>
    </row>
    <row r="50" spans="1:11" x14ac:dyDescent="0.35">
      <c r="A50" s="24">
        <f>+'each ball vs theory'!I82</f>
        <v>8.5</v>
      </c>
      <c r="I50" s="24">
        <f>+'each ball vs theory'!J82</f>
        <v>11.507593618584288</v>
      </c>
    </row>
    <row r="51" spans="1:11" x14ac:dyDescent="0.35">
      <c r="A51" s="24">
        <f>+'each ball vs theory'!I83</f>
        <v>0</v>
      </c>
      <c r="J51" s="24">
        <f>+'each ball vs theory'!J83</f>
        <v>10.916089398023031</v>
      </c>
    </row>
    <row r="52" spans="1:11" x14ac:dyDescent="0.35">
      <c r="A52" s="24">
        <f>+'each ball vs theory'!I84</f>
        <v>2.5</v>
      </c>
      <c r="J52" s="24">
        <f>+'each ball vs theory'!J84</f>
        <v>11.284388323764947</v>
      </c>
    </row>
    <row r="53" spans="1:11" x14ac:dyDescent="0.35">
      <c r="A53" s="24">
        <f>+'each ball vs theory'!I85</f>
        <v>3.65</v>
      </c>
      <c r="J53" s="24">
        <f>+'each ball vs theory'!J85</f>
        <v>11.432283361133184</v>
      </c>
    </row>
    <row r="54" spans="1:11" x14ac:dyDescent="0.35">
      <c r="A54" s="24">
        <f>+'each ball vs theory'!I86</f>
        <v>4</v>
      </c>
      <c r="J54" s="24">
        <f>+'each ball vs theory'!J86</f>
        <v>11.468537786635904</v>
      </c>
    </row>
    <row r="55" spans="1:11" x14ac:dyDescent="0.35">
      <c r="A55" s="24">
        <f>+'each ball vs theory'!I87</f>
        <v>6.25</v>
      </c>
      <c r="J55" s="24">
        <f>+'each ball vs theory'!J87</f>
        <v>11.691051720938312</v>
      </c>
    </row>
    <row r="56" spans="1:11" x14ac:dyDescent="0.35">
      <c r="A56" s="24">
        <f>+'each ball vs theory'!I88</f>
        <v>6.7</v>
      </c>
      <c r="J56" s="24">
        <f>+'each ball vs theory'!J88</f>
        <v>11.718674140368956</v>
      </c>
    </row>
    <row r="57" spans="1:11" x14ac:dyDescent="0.35">
      <c r="A57" s="24">
        <f>+'each ball vs theory'!I89</f>
        <v>8.0500000000000007</v>
      </c>
      <c r="J57" s="24">
        <f>+'each ball vs theory'!J89</f>
        <v>11.801541398660886</v>
      </c>
    </row>
    <row r="58" spans="1:11" x14ac:dyDescent="0.35">
      <c r="A58" s="24">
        <f>+'each ball vs theory'!I90</f>
        <v>9.4</v>
      </c>
      <c r="J58" s="24">
        <f>+'each ball vs theory'!J90</f>
        <v>11.872745857637657</v>
      </c>
    </row>
    <row r="59" spans="1:11" x14ac:dyDescent="0.35">
      <c r="A59" s="24">
        <f>+'each ball vs theory'!I91</f>
        <v>10</v>
      </c>
      <c r="J59" s="24">
        <f>+'each ball vs theory'!J91</f>
        <v>11.892081551239107</v>
      </c>
    </row>
    <row r="60" spans="1:11" x14ac:dyDescent="0.35">
      <c r="A60" s="24">
        <f>+'each ball vs theory'!I92</f>
        <v>13</v>
      </c>
      <c r="J60" s="24">
        <f>+'each ball vs theory'!J92</f>
        <v>11.966968999473297</v>
      </c>
    </row>
    <row r="61" spans="1:11" x14ac:dyDescent="0.35">
      <c r="A61" s="24">
        <f>+'each ball vs theory'!I94</f>
        <v>0</v>
      </c>
      <c r="K61" s="24">
        <f>+'each ball vs theory'!J94</f>
        <v>10.968589398023031</v>
      </c>
    </row>
    <row r="62" spans="1:11" x14ac:dyDescent="0.35">
      <c r="A62" s="24">
        <f>+'each ball vs theory'!I95</f>
        <v>2</v>
      </c>
      <c r="K62" s="24">
        <f>+'each ball vs theory'!J95</f>
        <v>11.303834230699582</v>
      </c>
    </row>
    <row r="63" spans="1:11" x14ac:dyDescent="0.35">
      <c r="A63" s="24">
        <f>+'each ball vs theory'!I96</f>
        <v>3.65</v>
      </c>
      <c r="K63" s="24">
        <f>+'each ball vs theory'!J96</f>
        <v>11.580367106495542</v>
      </c>
    </row>
    <row r="64" spans="1:11" x14ac:dyDescent="0.35">
      <c r="A64" s="24">
        <f>+'each ball vs theory'!I97</f>
        <v>4</v>
      </c>
      <c r="K64" s="24">
        <f>+'each ball vs theory'!J97</f>
        <v>11.62761016120562</v>
      </c>
    </row>
    <row r="65" spans="1:13" x14ac:dyDescent="0.35">
      <c r="A65" s="24">
        <f>+'each ball vs theory'!I98</f>
        <v>6.25</v>
      </c>
      <c r="K65" s="24">
        <f>+'each ball vs theory'!J98</f>
        <v>11.915435494523315</v>
      </c>
    </row>
    <row r="66" spans="1:13" x14ac:dyDescent="0.35">
      <c r="A66" s="24">
        <f>+'each ball vs theory'!I99</f>
        <v>6.7</v>
      </c>
      <c r="K66" s="24">
        <f>+'each ball vs theory'!J99</f>
        <v>11.947592531762947</v>
      </c>
    </row>
    <row r="67" spans="1:13" x14ac:dyDescent="0.35">
      <c r="A67" s="24">
        <f>+'each ball vs theory'!I100</f>
        <v>9</v>
      </c>
      <c r="K67" s="24">
        <f>+'each ball vs theory'!J100</f>
        <v>12.111950722098845</v>
      </c>
    </row>
    <row r="68" spans="1:13" x14ac:dyDescent="0.35">
      <c r="A68" s="24">
        <f>+'each ball vs theory'!I102</f>
        <v>11</v>
      </c>
      <c r="K68" s="24">
        <f>+'each ball vs theory'!J102</f>
        <v>12.199290823243523</v>
      </c>
    </row>
    <row r="69" spans="1:13" x14ac:dyDescent="0.35">
      <c r="A69" s="24">
        <f>+'each ball vs theory'!I103</f>
        <v>13</v>
      </c>
      <c r="K69" s="24">
        <f>+'each ball vs theory'!J103</f>
        <v>12.244584966605744</v>
      </c>
    </row>
    <row r="70" spans="1:13" x14ac:dyDescent="0.35">
      <c r="A70" s="24">
        <f>+'each ball vs theory'!I104</f>
        <v>0</v>
      </c>
      <c r="L70" s="24">
        <f>+'each ball vs theory'!J104</f>
        <v>11.40370811847046</v>
      </c>
    </row>
    <row r="71" spans="1:13" x14ac:dyDescent="0.35">
      <c r="A71" s="24">
        <f>+'each ball vs theory'!I105</f>
        <v>3</v>
      </c>
      <c r="L71" s="24">
        <f>+'each ball vs theory'!J105</f>
        <v>11.842897843956745</v>
      </c>
    </row>
    <row r="72" spans="1:13" x14ac:dyDescent="0.35">
      <c r="A72" s="24">
        <f>+'each ball vs theory'!I106</f>
        <v>6</v>
      </c>
      <c r="L72" s="24">
        <f>+'each ball vs theory'!J106</f>
        <v>12.166960165674782</v>
      </c>
    </row>
    <row r="73" spans="1:13" x14ac:dyDescent="0.35">
      <c r="A73" s="24">
        <f>+'each ball vs theory'!I107</f>
        <v>9</v>
      </c>
      <c r="L73" s="24">
        <f>+'each ball vs theory'!J107</f>
        <v>12.333255304451143</v>
      </c>
    </row>
    <row r="74" spans="1:13" x14ac:dyDescent="0.35">
      <c r="A74" s="24">
        <f>+'each ball vs theory'!I108</f>
        <v>12.2501</v>
      </c>
      <c r="L74" s="24">
        <f>+'each ball vs theory'!J108</f>
        <v>12.438436269064205</v>
      </c>
    </row>
    <row r="75" spans="1:13" x14ac:dyDescent="0.35">
      <c r="A75" s="24">
        <f>+'each ball vs theory'!I109</f>
        <v>12.583399999999999</v>
      </c>
      <c r="L75" s="24">
        <f>+'each ball vs theory'!J109</f>
        <v>12.447910827996541</v>
      </c>
    </row>
    <row r="76" spans="1:13" x14ac:dyDescent="0.35">
      <c r="A76" s="24">
        <f>+'each ball vs theory'!I110</f>
        <v>12.916699999999999</v>
      </c>
      <c r="L76" s="24">
        <f>+'each ball vs theory'!J110</f>
        <v>12.457385386928875</v>
      </c>
    </row>
    <row r="77" spans="1:13" x14ac:dyDescent="0.35">
      <c r="A77" s="24">
        <f>+'each ball vs theory'!I111</f>
        <v>13.249999999999998</v>
      </c>
      <c r="L77" s="24">
        <f>+'each ball vs theory'!J111</f>
        <v>12.466859945861211</v>
      </c>
    </row>
    <row r="78" spans="1:13" x14ac:dyDescent="0.35">
      <c r="A78" s="24">
        <f>+'each ball vs theory'!I126</f>
        <v>0</v>
      </c>
      <c r="M78" s="24">
        <f>+'each ball vs theory'!J126</f>
        <v>11.491597007359349</v>
      </c>
    </row>
    <row r="79" spans="1:13" x14ac:dyDescent="0.35">
      <c r="A79" s="24">
        <f>+'each ball vs theory'!I127</f>
        <v>3</v>
      </c>
      <c r="M79" s="24">
        <f>+'each ball vs theory'!J127</f>
        <v>12.014104151030054</v>
      </c>
    </row>
    <row r="80" spans="1:13" x14ac:dyDescent="0.35">
      <c r="A80" s="24">
        <f>+'each ball vs theory'!I128</f>
        <v>6</v>
      </c>
      <c r="M80" s="24">
        <f>+'each ball vs theory'!J128</f>
        <v>12.42557852667073</v>
      </c>
    </row>
    <row r="81" spans="1:15" x14ac:dyDescent="0.35">
      <c r="A81" s="24">
        <f>+'each ball vs theory'!I129</f>
        <v>9</v>
      </c>
      <c r="M81" s="24">
        <f>+'each ball vs theory'!J129</f>
        <v>12.660706741322548</v>
      </c>
    </row>
    <row r="82" spans="1:15" x14ac:dyDescent="0.35">
      <c r="A82" s="24">
        <f>+'each ball vs theory'!I130</f>
        <v>12.2501</v>
      </c>
      <c r="M82" s="24">
        <f>+'each ball vs theory'!J130</f>
        <v>12.791880635761911</v>
      </c>
    </row>
    <row r="83" spans="1:15" x14ac:dyDescent="0.35">
      <c r="A83" s="24">
        <f>+'each ball vs theory'!I131</f>
        <v>12.583399999999999</v>
      </c>
      <c r="M83" s="24">
        <f>+'each ball vs theory'!J131</f>
        <v>12.801313849106956</v>
      </c>
    </row>
    <row r="84" spans="1:15" x14ac:dyDescent="0.35">
      <c r="A84" s="24">
        <f>+'each ball vs theory'!I132</f>
        <v>12.916699999999999</v>
      </c>
      <c r="M84" s="24">
        <f>+'each ball vs theory'!J132</f>
        <v>12.810747062452</v>
      </c>
    </row>
    <row r="85" spans="1:15" x14ac:dyDescent="0.35">
      <c r="A85" s="24">
        <f>+'each ball vs theory'!I133</f>
        <v>13.249999999999998</v>
      </c>
      <c r="M85" s="24">
        <f>+'each ball vs theory'!J133</f>
        <v>12.820180275797046</v>
      </c>
    </row>
    <row r="86" spans="1:15" x14ac:dyDescent="0.35">
      <c r="A86">
        <f>+tline!B27</f>
        <v>4</v>
      </c>
      <c r="N86">
        <v>11.4</v>
      </c>
    </row>
    <row r="87" spans="1:15" x14ac:dyDescent="0.35">
      <c r="A87" s="24">
        <f>+tline!B29</f>
        <v>8</v>
      </c>
      <c r="N87">
        <v>11.75</v>
      </c>
    </row>
    <row r="88" spans="1:15" x14ac:dyDescent="0.35">
      <c r="A88">
        <f>+tline!B29</f>
        <v>8</v>
      </c>
      <c r="O88">
        <v>11.75</v>
      </c>
    </row>
    <row r="89" spans="1:15" x14ac:dyDescent="0.35">
      <c r="A89" s="24">
        <v>13.5</v>
      </c>
      <c r="O89">
        <v>11.75</v>
      </c>
    </row>
    <row r="92" spans="1:15" x14ac:dyDescent="0.35">
      <c r="A92">
        <v>0</v>
      </c>
      <c r="N92" s="24">
        <f>+provRef!C61</f>
        <v>10.789690395307826</v>
      </c>
    </row>
    <row r="93" spans="1:15" x14ac:dyDescent="0.35">
      <c r="A93">
        <v>0</v>
      </c>
      <c r="O93" s="24">
        <f>+provRef!D61</f>
        <v>11.000194089284946</v>
      </c>
    </row>
    <row r="95" spans="1:15" s="78" customFormat="1" x14ac:dyDescent="0.35"/>
    <row r="96" spans="1:15" x14ac:dyDescent="0.35">
      <c r="A96" t="str">
        <f>+A3</f>
        <v>Time</v>
      </c>
      <c r="B96" t="s">
        <v>68</v>
      </c>
      <c r="C96" t="s">
        <v>804</v>
      </c>
      <c r="D96" t="s">
        <v>807</v>
      </c>
      <c r="E96" t="str">
        <f>+G164</f>
        <v>11 dry, kept in bag, and air not humid</v>
      </c>
      <c r="F96" t="str">
        <f>+H164</f>
        <v>73% more wet, kept in bag</v>
      </c>
    </row>
    <row r="97" spans="1:3" x14ac:dyDescent="0.35">
      <c r="A97">
        <f t="shared" ref="A97:B97" si="1">+A4</f>
        <v>4</v>
      </c>
      <c r="B97">
        <f t="shared" si="1"/>
        <v>11.8</v>
      </c>
    </row>
    <row r="98" spans="1:3" x14ac:dyDescent="0.35">
      <c r="A98">
        <f t="shared" ref="A98:B98" si="2">+A5</f>
        <v>4.45</v>
      </c>
      <c r="B98">
        <f t="shared" si="2"/>
        <v>11.2</v>
      </c>
    </row>
    <row r="99" spans="1:3" x14ac:dyDescent="0.35">
      <c r="A99">
        <f t="shared" ref="A99:B99" si="3">+A6</f>
        <v>4.9000000000000004</v>
      </c>
      <c r="B99">
        <f t="shared" si="3"/>
        <v>11.5</v>
      </c>
    </row>
    <row r="100" spans="1:3" x14ac:dyDescent="0.35">
      <c r="A100">
        <f t="shared" ref="A100:B100" si="4">+A7</f>
        <v>5.3500000000000005</v>
      </c>
      <c r="B100">
        <f t="shared" si="4"/>
        <v>11</v>
      </c>
    </row>
    <row r="101" spans="1:3" x14ac:dyDescent="0.35">
      <c r="A101">
        <f t="shared" ref="A101:B101" si="5">+A8</f>
        <v>5.8000000000000007</v>
      </c>
      <c r="B101">
        <f t="shared" si="5"/>
        <v>11.45</v>
      </c>
    </row>
    <row r="102" spans="1:3" x14ac:dyDescent="0.35">
      <c r="A102">
        <f t="shared" ref="A102:B102" si="6">+A9</f>
        <v>6.2500000000000009</v>
      </c>
      <c r="B102">
        <f t="shared" si="6"/>
        <v>11.95</v>
      </c>
    </row>
    <row r="103" spans="1:3" x14ac:dyDescent="0.35">
      <c r="A103">
        <f t="shared" ref="A103:B103" si="7">+A10</f>
        <v>6.7000000000000011</v>
      </c>
      <c r="B103">
        <f t="shared" si="7"/>
        <v>12.3</v>
      </c>
    </row>
    <row r="104" spans="1:3" x14ac:dyDescent="0.35">
      <c r="A104">
        <f t="shared" ref="A104:B104" si="8">+A11</f>
        <v>7.1500000000000012</v>
      </c>
      <c r="B104">
        <f t="shared" si="8"/>
        <v>11.55</v>
      </c>
    </row>
    <row r="105" spans="1:3" x14ac:dyDescent="0.35">
      <c r="A105">
        <f t="shared" ref="A105:B105" si="9">+A12</f>
        <v>7.6000000000000014</v>
      </c>
      <c r="B105">
        <f t="shared" si="9"/>
        <v>11.35</v>
      </c>
    </row>
    <row r="106" spans="1:3" x14ac:dyDescent="0.35">
      <c r="A106">
        <f t="shared" ref="A106:B107" si="10">+A13</f>
        <v>8.0500000000000007</v>
      </c>
      <c r="B106">
        <f t="shared" si="10"/>
        <v>10.9</v>
      </c>
    </row>
    <row r="107" spans="1:3" x14ac:dyDescent="0.35">
      <c r="A107">
        <f t="shared" si="10"/>
        <v>8.5</v>
      </c>
      <c r="B107">
        <f t="shared" si="10"/>
        <v>11.35</v>
      </c>
    </row>
    <row r="108" spans="1:3" x14ac:dyDescent="0.35">
      <c r="A108" s="24">
        <f>+'each ball vs theory'!I28</f>
        <v>0</v>
      </c>
      <c r="C108" s="24">
        <f>+'each ball vs theory'!J28</f>
        <v>10.968589398023031</v>
      </c>
    </row>
    <row r="109" spans="1:3" x14ac:dyDescent="0.35">
      <c r="A109" s="24">
        <f>+'each ball vs theory'!I29</f>
        <v>3</v>
      </c>
      <c r="C109" s="24">
        <f>+'each ball vs theory'!J29</f>
        <v>11.004374516797483</v>
      </c>
    </row>
    <row r="110" spans="1:3" x14ac:dyDescent="0.35">
      <c r="A110" s="24">
        <f>+'each ball vs theory'!I30</f>
        <v>6</v>
      </c>
      <c r="C110" s="24">
        <f>+'each ball vs theory'!J30</f>
        <v>11.055560789568926</v>
      </c>
    </row>
    <row r="111" spans="1:3" x14ac:dyDescent="0.35">
      <c r="A111" s="24">
        <f>+'each ball vs theory'!I31</f>
        <v>9</v>
      </c>
      <c r="C111" s="24">
        <f>+'each ball vs theory'!J31</f>
        <v>11.10674706234037</v>
      </c>
    </row>
    <row r="112" spans="1:3" x14ac:dyDescent="0.35">
      <c r="A112" s="24">
        <f>+'each ball vs theory'!I33</f>
        <v>13</v>
      </c>
      <c r="C112" s="24">
        <f>+'each ball vs theory'!J33</f>
        <v>11.165314503518701</v>
      </c>
    </row>
    <row r="113" spans="1:6" x14ac:dyDescent="0.35">
      <c r="A113" s="24">
        <f>+'each ball vs theory'!I11</f>
        <v>0</v>
      </c>
      <c r="C113" s="24"/>
      <c r="D113" s="24">
        <f>+'each ball vs theory'!J11</f>
        <v>10.916089398023031</v>
      </c>
    </row>
    <row r="114" spans="1:6" x14ac:dyDescent="0.35">
      <c r="A114" s="24">
        <f>+'each ball vs theory'!I12</f>
        <v>4</v>
      </c>
      <c r="C114" s="24"/>
      <c r="D114" s="24">
        <f>+'each ball vs theory'!J12</f>
        <v>10.959301027715801</v>
      </c>
    </row>
    <row r="115" spans="1:6" x14ac:dyDescent="0.35">
      <c r="A115" s="24">
        <f>+'each ball vs theory'!I13</f>
        <v>8.0500000000000007</v>
      </c>
      <c r="C115" s="24"/>
      <c r="D115" s="24">
        <f>+'each ball vs theory'!J13</f>
        <v>11.01534893758601</v>
      </c>
    </row>
    <row r="116" spans="1:6" x14ac:dyDescent="0.35">
      <c r="A116" s="24">
        <f>+'each ball vs theory'!I16</f>
        <v>13</v>
      </c>
      <c r="C116" s="24"/>
      <c r="D116" s="24">
        <f>+'each ball vs theory'!J16</f>
        <v>11.073840483145082</v>
      </c>
    </row>
    <row r="117" spans="1:6" x14ac:dyDescent="0.35">
      <c r="A117" s="24">
        <f>+A203</f>
        <v>0</v>
      </c>
      <c r="E117" s="24">
        <f>+G203</f>
        <v>11.05558656248428</v>
      </c>
    </row>
    <row r="118" spans="1:6" x14ac:dyDescent="0.35">
      <c r="A118" s="24">
        <f t="shared" ref="A118:A125" si="11">+A204</f>
        <v>3</v>
      </c>
      <c r="E118" s="24">
        <f t="shared" ref="E118:E121" si="12">+G204</f>
        <v>11.09555918125873</v>
      </c>
    </row>
    <row r="119" spans="1:6" x14ac:dyDescent="0.35">
      <c r="A119" s="24">
        <f t="shared" si="11"/>
        <v>6</v>
      </c>
      <c r="E119" s="24">
        <f t="shared" si="12"/>
        <v>11.150932954030173</v>
      </c>
    </row>
    <row r="120" spans="1:6" x14ac:dyDescent="0.35">
      <c r="A120" s="24">
        <f t="shared" si="11"/>
        <v>9</v>
      </c>
      <c r="E120" s="24">
        <f t="shared" si="12"/>
        <v>11.206306726801618</v>
      </c>
    </row>
    <row r="121" spans="1:6" x14ac:dyDescent="0.35">
      <c r="A121" s="24">
        <f t="shared" si="11"/>
        <v>10</v>
      </c>
      <c r="E121" s="24">
        <f t="shared" si="12"/>
        <v>11.224764651058766</v>
      </c>
    </row>
    <row r="122" spans="1:6" x14ac:dyDescent="0.35">
      <c r="A122" s="24">
        <f t="shared" si="11"/>
        <v>0</v>
      </c>
      <c r="F122" s="24">
        <f>+H208</f>
        <v>10.813774420281106</v>
      </c>
    </row>
    <row r="123" spans="1:6" x14ac:dyDescent="0.35">
      <c r="A123" s="24">
        <f>+A209</f>
        <v>1</v>
      </c>
      <c r="F123" s="24">
        <f t="shared" ref="F123:F126" si="13">+H209</f>
        <v>10.820060418545493</v>
      </c>
    </row>
    <row r="124" spans="1:6" x14ac:dyDescent="0.35">
      <c r="A124" s="24">
        <f t="shared" si="11"/>
        <v>2</v>
      </c>
      <c r="F124" s="24">
        <f t="shared" si="13"/>
        <v>10.827260506215369</v>
      </c>
    </row>
    <row r="125" spans="1:6" x14ac:dyDescent="0.35">
      <c r="A125" s="24">
        <f t="shared" si="11"/>
        <v>3</v>
      </c>
      <c r="F125" s="24">
        <f t="shared" si="13"/>
        <v>10.840075714518932</v>
      </c>
    </row>
    <row r="126" spans="1:6" x14ac:dyDescent="0.35">
      <c r="A126" s="24">
        <f>+A212</f>
        <v>4</v>
      </c>
      <c r="F126" s="24">
        <f t="shared" si="13"/>
        <v>10.852890922822498</v>
      </c>
    </row>
    <row r="127" spans="1:6" x14ac:dyDescent="0.35">
      <c r="A127" s="24">
        <f t="shared" ref="A127:A130" si="14">+A213</f>
        <v>5</v>
      </c>
      <c r="F127" s="24">
        <f t="shared" ref="F127:F129" si="15">+H213</f>
        <v>10.865706131126062</v>
      </c>
    </row>
    <row r="128" spans="1:6" x14ac:dyDescent="0.35">
      <c r="A128" s="24">
        <f t="shared" si="14"/>
        <v>6</v>
      </c>
      <c r="F128" s="24">
        <f t="shared" si="15"/>
        <v>10.878521339429625</v>
      </c>
    </row>
    <row r="129" spans="1:9" x14ac:dyDescent="0.35">
      <c r="A129" s="24">
        <f>+A215</f>
        <v>7</v>
      </c>
      <c r="F129" s="24">
        <f t="shared" si="15"/>
        <v>10.891336547733189</v>
      </c>
    </row>
    <row r="130" spans="1:9" x14ac:dyDescent="0.35">
      <c r="A130" s="24">
        <f t="shared" si="14"/>
        <v>8</v>
      </c>
      <c r="F130" s="24">
        <f t="shared" ref="F130:F131" si="16">+H216</f>
        <v>10.904151756036754</v>
      </c>
      <c r="I130" t="s">
        <v>991</v>
      </c>
    </row>
    <row r="131" spans="1:9" x14ac:dyDescent="0.35">
      <c r="A131" s="24">
        <f>+A217</f>
        <v>10</v>
      </c>
      <c r="F131" s="24">
        <f t="shared" si="16"/>
        <v>10.929782172643883</v>
      </c>
      <c r="I131" s="13" t="s">
        <v>992</v>
      </c>
    </row>
    <row r="132" spans="1:9" x14ac:dyDescent="0.35">
      <c r="A132" t="s">
        <v>486</v>
      </c>
      <c r="B132" t="s">
        <v>235</v>
      </c>
      <c r="C132" t="s">
        <v>805</v>
      </c>
      <c r="D132" t="s">
        <v>806</v>
      </c>
      <c r="E132" t="s">
        <v>1002</v>
      </c>
      <c r="F132" t="s">
        <v>1003</v>
      </c>
      <c r="I132" s="192" t="s">
        <v>961</v>
      </c>
    </row>
    <row r="133" spans="1:9" x14ac:dyDescent="0.35">
      <c r="A133" s="133">
        <f>+A15</f>
        <v>12.2501</v>
      </c>
      <c r="B133" s="105">
        <f>+C15</f>
        <v>12.7</v>
      </c>
      <c r="C133" s="105"/>
      <c r="D133" s="105"/>
      <c r="E133" s="105"/>
      <c r="F133" s="105"/>
    </row>
    <row r="134" spans="1:9" x14ac:dyDescent="0.35">
      <c r="A134" s="133">
        <f>+A16</f>
        <v>12.583399999999999</v>
      </c>
      <c r="B134" s="105">
        <f>+C16</f>
        <v>12.75</v>
      </c>
      <c r="C134" s="105"/>
      <c r="D134" s="105"/>
      <c r="E134" s="105"/>
      <c r="F134" s="105"/>
    </row>
    <row r="135" spans="1:9" x14ac:dyDescent="0.35">
      <c r="A135" s="133">
        <f>+A17</f>
        <v>12.916699999999999</v>
      </c>
      <c r="B135" s="105">
        <f>+C17</f>
        <v>12.95</v>
      </c>
      <c r="C135" s="105"/>
      <c r="D135" s="105"/>
      <c r="E135" s="105"/>
      <c r="F135" s="105"/>
    </row>
    <row r="136" spans="1:9" x14ac:dyDescent="0.35">
      <c r="A136" s="133">
        <f>+A18</f>
        <v>13.249999999999998</v>
      </c>
      <c r="B136" s="105">
        <f>+C18</f>
        <v>12.55</v>
      </c>
      <c r="C136" s="105"/>
      <c r="D136" s="105"/>
      <c r="E136" s="105"/>
      <c r="F136" s="105"/>
    </row>
    <row r="137" spans="1:9" x14ac:dyDescent="0.35">
      <c r="A137" s="133">
        <f>+'each ball vs theory'!I112</f>
        <v>0</v>
      </c>
      <c r="B137" s="105"/>
      <c r="C137" s="105">
        <f>+'each ball vs theory'!J126</f>
        <v>11.491597007359349</v>
      </c>
      <c r="D137" s="105"/>
      <c r="E137" s="105"/>
      <c r="F137" s="105"/>
    </row>
    <row r="138" spans="1:9" x14ac:dyDescent="0.35">
      <c r="A138" s="133">
        <f>+'each ball vs theory'!I113</f>
        <v>3</v>
      </c>
      <c r="B138" s="105"/>
      <c r="C138" s="105">
        <f>+'each ball vs theory'!J127</f>
        <v>12.014104151030054</v>
      </c>
      <c r="D138" s="105"/>
      <c r="E138" s="105"/>
      <c r="F138" s="105"/>
    </row>
    <row r="139" spans="1:9" x14ac:dyDescent="0.35">
      <c r="A139" s="133">
        <f>+'each ball vs theory'!I114</f>
        <v>6</v>
      </c>
      <c r="B139" s="105"/>
      <c r="C139" s="105">
        <f>+'each ball vs theory'!J128</f>
        <v>12.42557852667073</v>
      </c>
      <c r="D139" s="105"/>
      <c r="E139" s="105"/>
      <c r="F139" s="105"/>
    </row>
    <row r="140" spans="1:9" x14ac:dyDescent="0.35">
      <c r="A140" s="133">
        <f>+'each ball vs theory'!I115</f>
        <v>9</v>
      </c>
      <c r="B140" s="105"/>
      <c r="C140" s="105">
        <f>+'each ball vs theory'!J129</f>
        <v>12.660706741322548</v>
      </c>
      <c r="D140" s="105"/>
      <c r="E140" s="105"/>
      <c r="F140" s="105"/>
    </row>
    <row r="141" spans="1:9" x14ac:dyDescent="0.35">
      <c r="A141" s="133">
        <f>+'each ball vs theory'!I116</f>
        <v>12</v>
      </c>
      <c r="B141" s="105"/>
      <c r="C141" s="105">
        <f>+'each ball vs theory'!J130</f>
        <v>12.791880635761911</v>
      </c>
      <c r="D141" s="105"/>
      <c r="E141" s="105"/>
      <c r="F141" s="105"/>
    </row>
    <row r="142" spans="1:9" x14ac:dyDescent="0.35">
      <c r="A142" s="133">
        <f>+'each ball vs theory'!I117</f>
        <v>13.249999999999998</v>
      </c>
      <c r="B142" s="105"/>
      <c r="C142" s="105">
        <f>+'each ball vs theory'!J131</f>
        <v>12.801313849106956</v>
      </c>
      <c r="D142" s="105"/>
      <c r="E142" s="105"/>
      <c r="F142" s="105"/>
    </row>
    <row r="143" spans="1:9" x14ac:dyDescent="0.35">
      <c r="A143" s="133">
        <f>+'each ball vs theory'!I104</f>
        <v>0</v>
      </c>
      <c r="B143" s="105"/>
      <c r="C143" s="105"/>
      <c r="D143" s="105">
        <f>+'each ball vs theory'!J104</f>
        <v>11.40370811847046</v>
      </c>
      <c r="E143" s="105"/>
      <c r="F143" s="105"/>
    </row>
    <row r="144" spans="1:9" x14ac:dyDescent="0.35">
      <c r="A144" s="133">
        <f>+'each ball vs theory'!I105</f>
        <v>3</v>
      </c>
      <c r="B144" s="105"/>
      <c r="C144" s="105"/>
      <c r="D144" s="105">
        <f>+'each ball vs theory'!J105</f>
        <v>11.842897843956745</v>
      </c>
      <c r="E144" s="105"/>
      <c r="F144" s="105"/>
    </row>
    <row r="145" spans="1:6" x14ac:dyDescent="0.35">
      <c r="A145" s="133">
        <f>+'each ball vs theory'!I106</f>
        <v>6</v>
      </c>
      <c r="B145" s="105"/>
      <c r="C145" s="105"/>
      <c r="D145" s="105">
        <f>+'each ball vs theory'!J106</f>
        <v>12.166960165674782</v>
      </c>
      <c r="E145" s="105"/>
      <c r="F145" s="105"/>
    </row>
    <row r="146" spans="1:6" x14ac:dyDescent="0.35">
      <c r="A146" s="133">
        <f>+'each ball vs theory'!I107</f>
        <v>9</v>
      </c>
      <c r="B146" s="105"/>
      <c r="C146" s="105"/>
      <c r="D146" s="105">
        <f>+'each ball vs theory'!J107</f>
        <v>12.333255304451143</v>
      </c>
      <c r="E146" s="105"/>
      <c r="F146" s="105"/>
    </row>
    <row r="147" spans="1:6" x14ac:dyDescent="0.35">
      <c r="A147" s="133">
        <f>+'each ball vs theory'!I108</f>
        <v>12.2501</v>
      </c>
      <c r="B147" s="105"/>
      <c r="C147" s="105"/>
      <c r="D147" s="105">
        <f>+'each ball vs theory'!J108</f>
        <v>12.438436269064205</v>
      </c>
      <c r="E147" s="105"/>
      <c r="F147" s="105"/>
    </row>
    <row r="148" spans="1:6" x14ac:dyDescent="0.35">
      <c r="A148" s="133">
        <f>+'each ball vs theory'!I109</f>
        <v>12.583399999999999</v>
      </c>
      <c r="B148" s="105"/>
      <c r="C148" s="105"/>
      <c r="D148" s="105">
        <f>+'each ball vs theory'!J109</f>
        <v>12.447910827996541</v>
      </c>
      <c r="E148" s="105"/>
      <c r="F148" s="105"/>
    </row>
    <row r="149" spans="1:6" x14ac:dyDescent="0.35">
      <c r="A149" s="133">
        <f>+'each ball vs theory'!I110</f>
        <v>12.916699999999999</v>
      </c>
      <c r="B149" s="105"/>
      <c r="C149" s="105"/>
      <c r="D149" s="105">
        <f>+'each ball vs theory'!J110</f>
        <v>12.457385386928875</v>
      </c>
      <c r="E149" s="105"/>
      <c r="F149" s="105"/>
    </row>
    <row r="150" spans="1:6" x14ac:dyDescent="0.35">
      <c r="A150" s="133">
        <f>+'each ball vs theory'!I111</f>
        <v>13.249999999999998</v>
      </c>
      <c r="B150" s="105"/>
      <c r="C150" s="105"/>
      <c r="D150" s="105">
        <f>+'each ball vs theory'!J111</f>
        <v>12.466859945861211</v>
      </c>
      <c r="E150" s="105"/>
      <c r="F150" s="105"/>
    </row>
    <row r="151" spans="1:6" x14ac:dyDescent="0.35">
      <c r="A151" s="133">
        <f>+'each ball vs theory'!I112</f>
        <v>0</v>
      </c>
      <c r="B151" s="105"/>
      <c r="C151" s="105"/>
      <c r="D151" s="105"/>
      <c r="E151" s="105">
        <f>+'each ball vs theory'!J112</f>
        <v>11.491597007359349</v>
      </c>
      <c r="F151" s="105"/>
    </row>
    <row r="152" spans="1:6" x14ac:dyDescent="0.35">
      <c r="A152" s="133">
        <f>+'each ball vs theory'!I113</f>
        <v>3</v>
      </c>
      <c r="B152" s="105"/>
      <c r="C152" s="105"/>
      <c r="D152" s="105"/>
      <c r="E152" s="105">
        <f>+'each ball vs theory'!J113</f>
        <v>11.540236966168733</v>
      </c>
      <c r="F152" s="105"/>
    </row>
    <row r="153" spans="1:6" x14ac:dyDescent="0.35">
      <c r="A153" s="133">
        <f>+'each ball vs theory'!I114</f>
        <v>6</v>
      </c>
      <c r="B153" s="105"/>
      <c r="C153" s="105"/>
      <c r="D153" s="105"/>
      <c r="E153" s="105">
        <f>+'each ball vs theory'!J114</f>
        <v>11.588876924978115</v>
      </c>
      <c r="F153" s="105"/>
    </row>
    <row r="154" spans="1:6" x14ac:dyDescent="0.35">
      <c r="A154" s="133">
        <f>+'each ball vs theory'!I115</f>
        <v>9</v>
      </c>
      <c r="B154" s="105"/>
      <c r="C154" s="105"/>
      <c r="D154" s="105"/>
      <c r="E154" s="105">
        <f>+'each ball vs theory'!J115</f>
        <v>11.6375168837875</v>
      </c>
      <c r="F154" s="105"/>
    </row>
    <row r="155" spans="1:6" x14ac:dyDescent="0.35">
      <c r="A155" s="133">
        <f>+'each ball vs theory'!I116</f>
        <v>12</v>
      </c>
      <c r="B155" s="105"/>
      <c r="C155" s="105"/>
      <c r="D155" s="105"/>
      <c r="E155" s="105">
        <f>+'each ball vs theory'!J116</f>
        <v>11.683013608797724</v>
      </c>
      <c r="F155" s="105"/>
    </row>
    <row r="156" spans="1:6" x14ac:dyDescent="0.35">
      <c r="A156" s="133">
        <f>+'each ball vs theory'!I117</f>
        <v>13.249999999999998</v>
      </c>
      <c r="B156" s="105"/>
      <c r="C156" s="105"/>
      <c r="D156" s="105"/>
      <c r="E156" s="105">
        <f>+'each ball vs theory'!J117</f>
        <v>11.698602827052888</v>
      </c>
      <c r="F156" s="105"/>
    </row>
    <row r="157" spans="1:6" x14ac:dyDescent="0.35">
      <c r="A157" s="133">
        <f>+'each ball vs theory'!I120</f>
        <v>0</v>
      </c>
      <c r="B157" s="105"/>
      <c r="C157" s="105"/>
      <c r="D157" s="105"/>
      <c r="E157" s="105"/>
      <c r="F157" s="105">
        <f>+'each ball vs theory'!J120</f>
        <v>11.40370811847046</v>
      </c>
    </row>
    <row r="158" spans="1:6" x14ac:dyDescent="0.35">
      <c r="A158" s="133">
        <f>+'each ball vs theory'!I121</f>
        <v>3</v>
      </c>
      <c r="B158" s="105"/>
      <c r="C158" s="105"/>
      <c r="D158" s="105"/>
      <c r="E158" s="105"/>
      <c r="F158" s="105">
        <f>+'each ball vs theory'!J121</f>
        <v>11.441497073426143</v>
      </c>
    </row>
    <row r="159" spans="1:6" x14ac:dyDescent="0.35">
      <c r="A159" s="133">
        <f>+'each ball vs theory'!I122</f>
        <v>6</v>
      </c>
      <c r="B159" s="105"/>
      <c r="C159" s="105"/>
      <c r="D159" s="105"/>
      <c r="E159" s="105"/>
      <c r="F159" s="105">
        <f>+'each ball vs theory'!J122</f>
        <v>11.479286028381825</v>
      </c>
    </row>
    <row r="160" spans="1:6" x14ac:dyDescent="0.35">
      <c r="A160" s="133">
        <f>+'each ball vs theory'!I123</f>
        <v>9</v>
      </c>
      <c r="B160" s="105"/>
      <c r="C160" s="105"/>
      <c r="D160" s="105"/>
      <c r="E160" s="105"/>
      <c r="F160" s="105">
        <f>+'each ball vs theory'!J123</f>
        <v>11.517074983337508</v>
      </c>
    </row>
    <row r="161" spans="1:8" x14ac:dyDescent="0.35">
      <c r="A161" s="133">
        <f>+'each ball vs theory'!I124</f>
        <v>12</v>
      </c>
      <c r="B161" s="105"/>
      <c r="C161" s="105"/>
      <c r="D161" s="105"/>
      <c r="E161" s="105"/>
      <c r="F161" s="105">
        <f>+'each ball vs theory'!J124</f>
        <v>11.551782948007125</v>
      </c>
    </row>
    <row r="162" spans="1:8" x14ac:dyDescent="0.35">
      <c r="A162" s="133">
        <f>+'each ball vs theory'!I125</f>
        <v>13.249999999999998</v>
      </c>
      <c r="B162" s="105"/>
      <c r="C162" s="105"/>
      <c r="D162" s="105"/>
      <c r="E162" s="105"/>
      <c r="F162" s="105">
        <f>+'each ball vs theory'!J125</f>
        <v>11.562943538932011</v>
      </c>
    </row>
    <row r="163" spans="1:8" x14ac:dyDescent="0.35">
      <c r="A163" s="24"/>
      <c r="F163" s="24"/>
    </row>
    <row r="164" spans="1:8" ht="72.5" x14ac:dyDescent="0.35">
      <c r="A164" s="52" t="s">
        <v>486</v>
      </c>
      <c r="B164" s="52" t="s">
        <v>70</v>
      </c>
      <c r="C164" s="52" t="s">
        <v>106</v>
      </c>
      <c r="D164" s="52" t="s">
        <v>102</v>
      </c>
      <c r="E164" s="110" t="s">
        <v>825</v>
      </c>
      <c r="F164" s="110" t="s">
        <v>824</v>
      </c>
      <c r="G164" s="110" t="s">
        <v>823</v>
      </c>
      <c r="H164" s="110" t="str">
        <f>+TEXT(main!C130*100,0)&amp;"% more wet, kept in bag"</f>
        <v>73% more wet, kept in bag</v>
      </c>
    </row>
    <row r="165" spans="1:8" x14ac:dyDescent="0.35">
      <c r="A165">
        <f>+A4</f>
        <v>4</v>
      </c>
      <c r="B165">
        <f>+B4</f>
        <v>11.8</v>
      </c>
    </row>
    <row r="166" spans="1:8" x14ac:dyDescent="0.35">
      <c r="A166">
        <f t="shared" ref="A166:B166" si="17">+A5</f>
        <v>4.45</v>
      </c>
      <c r="B166">
        <f t="shared" si="17"/>
        <v>11.2</v>
      </c>
    </row>
    <row r="167" spans="1:8" x14ac:dyDescent="0.35">
      <c r="A167">
        <f t="shared" ref="A167:B167" si="18">+A6</f>
        <v>4.9000000000000004</v>
      </c>
      <c r="B167">
        <f t="shared" si="18"/>
        <v>11.5</v>
      </c>
    </row>
    <row r="168" spans="1:8" x14ac:dyDescent="0.35">
      <c r="A168">
        <f t="shared" ref="A168:B168" si="19">+A7</f>
        <v>5.3500000000000005</v>
      </c>
      <c r="B168">
        <f t="shared" si="19"/>
        <v>11</v>
      </c>
    </row>
    <row r="169" spans="1:8" x14ac:dyDescent="0.35">
      <c r="A169">
        <f t="shared" ref="A169:B169" si="20">+A8</f>
        <v>5.8000000000000007</v>
      </c>
      <c r="B169">
        <f t="shared" si="20"/>
        <v>11.45</v>
      </c>
    </row>
    <row r="170" spans="1:8" x14ac:dyDescent="0.35">
      <c r="A170">
        <f t="shared" ref="A170:B170" si="21">+A9</f>
        <v>6.2500000000000009</v>
      </c>
      <c r="B170">
        <f t="shared" si="21"/>
        <v>11.95</v>
      </c>
    </row>
    <row r="171" spans="1:8" x14ac:dyDescent="0.35">
      <c r="A171">
        <f t="shared" ref="A171:B171" si="22">+A10</f>
        <v>6.7000000000000011</v>
      </c>
      <c r="B171">
        <f t="shared" si="22"/>
        <v>12.3</v>
      </c>
    </row>
    <row r="172" spans="1:8" x14ac:dyDescent="0.35">
      <c r="A172">
        <f t="shared" ref="A172:B172" si="23">+A11</f>
        <v>7.1500000000000012</v>
      </c>
      <c r="B172">
        <f t="shared" si="23"/>
        <v>11.55</v>
      </c>
    </row>
    <row r="173" spans="1:8" x14ac:dyDescent="0.35">
      <c r="A173">
        <f t="shared" ref="A173:B173" si="24">+A12</f>
        <v>7.6000000000000014</v>
      </c>
      <c r="B173">
        <f t="shared" si="24"/>
        <v>11.35</v>
      </c>
    </row>
    <row r="174" spans="1:8" x14ac:dyDescent="0.35">
      <c r="A174">
        <f t="shared" ref="A174:B174" si="25">+A13</f>
        <v>8.0500000000000007</v>
      </c>
      <c r="B174">
        <f t="shared" si="25"/>
        <v>10.9</v>
      </c>
    </row>
    <row r="175" spans="1:8" x14ac:dyDescent="0.35">
      <c r="A175">
        <f>+A14</f>
        <v>8.5</v>
      </c>
      <c r="B175">
        <f>+B14</f>
        <v>11.35</v>
      </c>
    </row>
    <row r="176" spans="1:8" x14ac:dyDescent="0.35">
      <c r="A176" s="24">
        <f>+'each ball vs theory'!I94</f>
        <v>0</v>
      </c>
      <c r="C176" s="24">
        <f>+'each ball vs theory'!J94</f>
        <v>10.968589398023031</v>
      </c>
    </row>
    <row r="177" spans="1:13" x14ac:dyDescent="0.35">
      <c r="A177" s="24">
        <f>+'each ball vs theory'!I95</f>
        <v>2</v>
      </c>
      <c r="C177" s="24">
        <f>+'each ball vs theory'!J95</f>
        <v>11.303834230699582</v>
      </c>
    </row>
    <row r="178" spans="1:13" x14ac:dyDescent="0.35">
      <c r="A178" s="24">
        <f>+'each ball vs theory'!I96</f>
        <v>3.65</v>
      </c>
      <c r="C178" s="24">
        <f>+'each ball vs theory'!J96</f>
        <v>11.580367106495542</v>
      </c>
    </row>
    <row r="179" spans="1:13" x14ac:dyDescent="0.35">
      <c r="A179" s="24">
        <f>+'each ball vs theory'!I97</f>
        <v>4</v>
      </c>
      <c r="C179" s="24">
        <f>+'each ball vs theory'!J97</f>
        <v>11.62761016120562</v>
      </c>
    </row>
    <row r="180" spans="1:13" x14ac:dyDescent="0.35">
      <c r="A180" s="24">
        <f>+'each ball vs theory'!I98</f>
        <v>6.25</v>
      </c>
      <c r="C180" s="24">
        <f>+'each ball vs theory'!J98</f>
        <v>11.915435494523315</v>
      </c>
      <c r="L180" t="s">
        <v>991</v>
      </c>
    </row>
    <row r="181" spans="1:13" x14ac:dyDescent="0.35">
      <c r="A181" s="24">
        <f>+'each ball vs theory'!I99</f>
        <v>6.7</v>
      </c>
      <c r="C181" s="24">
        <f>+'each ball vs theory'!J99</f>
        <v>11.947592531762947</v>
      </c>
      <c r="L181" s="13" t="s">
        <v>992</v>
      </c>
    </row>
    <row r="182" spans="1:13" x14ac:dyDescent="0.35">
      <c r="A182" s="24">
        <f>+'each ball vs theory'!I100</f>
        <v>9</v>
      </c>
      <c r="C182" s="24">
        <f>+'each ball vs theory'!J100</f>
        <v>12.111950722098845</v>
      </c>
      <c r="M182" t="s">
        <v>993</v>
      </c>
    </row>
    <row r="183" spans="1:13" x14ac:dyDescent="0.35">
      <c r="A183" s="24">
        <f>+'each ball vs theory'!I101</f>
        <v>10</v>
      </c>
      <c r="C183" s="24">
        <f>+'each ball vs theory'!J101</f>
        <v>12.155620772671183</v>
      </c>
    </row>
    <row r="184" spans="1:13" x14ac:dyDescent="0.35">
      <c r="A184" s="24">
        <f>+'each ball vs theory'!I83</f>
        <v>0</v>
      </c>
      <c r="C184" s="24"/>
      <c r="D184" s="24">
        <f>+'each ball vs theory'!J83</f>
        <v>10.916089398023031</v>
      </c>
    </row>
    <row r="185" spans="1:13" x14ac:dyDescent="0.35">
      <c r="A185" s="24">
        <f>+'each ball vs theory'!I84</f>
        <v>2.5</v>
      </c>
      <c r="C185" s="24"/>
      <c r="D185" s="24">
        <f>+'each ball vs theory'!J84</f>
        <v>11.284388323764947</v>
      </c>
    </row>
    <row r="186" spans="1:13" x14ac:dyDescent="0.35">
      <c r="A186" s="24">
        <f>+'each ball vs theory'!I85</f>
        <v>3.65</v>
      </c>
      <c r="C186" s="24"/>
      <c r="D186" s="24">
        <f>+'each ball vs theory'!J85</f>
        <v>11.432283361133184</v>
      </c>
    </row>
    <row r="187" spans="1:13" x14ac:dyDescent="0.35">
      <c r="A187" s="24">
        <f>+'each ball vs theory'!I86</f>
        <v>4</v>
      </c>
      <c r="C187" s="24"/>
      <c r="D187" s="24">
        <f>+'each ball vs theory'!J86</f>
        <v>11.468537786635904</v>
      </c>
    </row>
    <row r="188" spans="1:13" x14ac:dyDescent="0.35">
      <c r="A188" s="24">
        <f>+'each ball vs theory'!I87</f>
        <v>6.25</v>
      </c>
      <c r="C188" s="24"/>
      <c r="D188" s="24">
        <f>+'each ball vs theory'!J87</f>
        <v>11.691051720938312</v>
      </c>
    </row>
    <row r="189" spans="1:13" x14ac:dyDescent="0.35">
      <c r="A189" s="24">
        <f>+'each ball vs theory'!I88</f>
        <v>6.7</v>
      </c>
      <c r="C189" s="24"/>
      <c r="D189" s="24">
        <f>+'each ball vs theory'!J88</f>
        <v>11.718674140368956</v>
      </c>
    </row>
    <row r="190" spans="1:13" x14ac:dyDescent="0.35">
      <c r="A190" s="24">
        <f>+'each ball vs theory'!I89</f>
        <v>8.0500000000000007</v>
      </c>
      <c r="C190" s="24"/>
      <c r="D190" s="24">
        <f>+'each ball vs theory'!J89</f>
        <v>11.801541398660886</v>
      </c>
    </row>
    <row r="191" spans="1:13" x14ac:dyDescent="0.35">
      <c r="A191" s="24">
        <f>+'each ball vs theory'!I90</f>
        <v>9.4</v>
      </c>
      <c r="C191" s="24"/>
      <c r="D191" s="24">
        <f>+'each ball vs theory'!J90</f>
        <v>11.872745857637657</v>
      </c>
    </row>
    <row r="192" spans="1:13" x14ac:dyDescent="0.35">
      <c r="A192" s="24">
        <f>+'each ball vs theory'!I91</f>
        <v>10</v>
      </c>
      <c r="C192" s="24"/>
      <c r="D192" s="24">
        <f>+'each ball vs theory'!J91</f>
        <v>11.892081551239107</v>
      </c>
    </row>
    <row r="193" spans="1:8" x14ac:dyDescent="0.35">
      <c r="A193" s="24">
        <f>+'each ball vs theory'!I28</f>
        <v>0</v>
      </c>
      <c r="E193" s="24">
        <f>+'each ball vs theory'!J28</f>
        <v>10.968589398023031</v>
      </c>
    </row>
    <row r="194" spans="1:8" x14ac:dyDescent="0.35">
      <c r="A194" s="24">
        <f>+'each ball vs theory'!I29</f>
        <v>3</v>
      </c>
      <c r="E194" s="24">
        <f>+'each ball vs theory'!J29</f>
        <v>11.004374516797483</v>
      </c>
    </row>
    <row r="195" spans="1:8" x14ac:dyDescent="0.35">
      <c r="A195" s="24">
        <f>+'each ball vs theory'!I30</f>
        <v>6</v>
      </c>
      <c r="E195" s="24">
        <f>+'each ball vs theory'!J30</f>
        <v>11.055560789568926</v>
      </c>
    </row>
    <row r="196" spans="1:8" x14ac:dyDescent="0.35">
      <c r="A196" s="24">
        <f>+'each ball vs theory'!I31</f>
        <v>9</v>
      </c>
      <c r="E196" s="24">
        <f>+'each ball vs theory'!J31</f>
        <v>11.10674706234037</v>
      </c>
    </row>
    <row r="197" spans="1:8" x14ac:dyDescent="0.35">
      <c r="A197" s="24">
        <f>+'each ball vs theory'!I32</f>
        <v>10</v>
      </c>
      <c r="E197" s="24">
        <f>+'each ball vs theory'!J32</f>
        <v>11.123809153264185</v>
      </c>
    </row>
    <row r="198" spans="1:8" x14ac:dyDescent="0.35">
      <c r="A198">
        <f>+'each ball vs theory'!I11</f>
        <v>0</v>
      </c>
      <c r="F198" s="24">
        <f>+'each ball vs theory'!J11</f>
        <v>10.916089398023031</v>
      </c>
    </row>
    <row r="199" spans="1:8" x14ac:dyDescent="0.35">
      <c r="A199">
        <f>+'each ball vs theory'!I12</f>
        <v>4</v>
      </c>
      <c r="F199" s="24">
        <f>+'each ball vs theory'!J12</f>
        <v>10.959301027715801</v>
      </c>
    </row>
    <row r="200" spans="1:8" x14ac:dyDescent="0.35">
      <c r="A200">
        <f>+'each ball vs theory'!I13</f>
        <v>8.0500000000000007</v>
      </c>
      <c r="F200" s="24">
        <f>+'each ball vs theory'!J13</f>
        <v>11.01534893758601</v>
      </c>
    </row>
    <row r="201" spans="1:8" x14ac:dyDescent="0.35">
      <c r="A201">
        <f>+'each ball vs theory'!I14</f>
        <v>9</v>
      </c>
      <c r="F201" s="24">
        <f>+'each ball vs theory'!J14</f>
        <v>11.028495978172847</v>
      </c>
    </row>
    <row r="202" spans="1:8" x14ac:dyDescent="0.35">
      <c r="A202">
        <f>+'each ball vs theory'!I15</f>
        <v>10</v>
      </c>
      <c r="F202" s="24">
        <f>+'each ball vs theory'!J15</f>
        <v>11.042334968264257</v>
      </c>
    </row>
    <row r="203" spans="1:8" x14ac:dyDescent="0.35">
      <c r="A203" s="24">
        <f>+'each ball vs theory'!I34</f>
        <v>0</v>
      </c>
      <c r="G203" s="24">
        <f>+'each ball vs theory'!J34</f>
        <v>11.05558656248428</v>
      </c>
    </row>
    <row r="204" spans="1:8" x14ac:dyDescent="0.35">
      <c r="A204" s="24">
        <f>+'each ball vs theory'!I35</f>
        <v>3</v>
      </c>
      <c r="G204" s="24">
        <f>+'each ball vs theory'!J35</f>
        <v>11.09555918125873</v>
      </c>
    </row>
    <row r="205" spans="1:8" x14ac:dyDescent="0.35">
      <c r="A205" s="24">
        <f>+'each ball vs theory'!I36</f>
        <v>6</v>
      </c>
      <c r="G205" s="24">
        <f>+'each ball vs theory'!J36</f>
        <v>11.150932954030173</v>
      </c>
    </row>
    <row r="206" spans="1:8" x14ac:dyDescent="0.35">
      <c r="A206" s="24">
        <f>+'each ball vs theory'!I37</f>
        <v>9</v>
      </c>
      <c r="G206" s="24">
        <f>+'each ball vs theory'!J37</f>
        <v>11.206306726801618</v>
      </c>
    </row>
    <row r="207" spans="1:8" x14ac:dyDescent="0.35">
      <c r="A207" s="24">
        <f>+'each ball vs theory'!I38</f>
        <v>10</v>
      </c>
      <c r="G207" s="24">
        <f>+'each ball vs theory'!J38</f>
        <v>11.224764651058766</v>
      </c>
    </row>
    <row r="208" spans="1:8" x14ac:dyDescent="0.35">
      <c r="A208" s="24">
        <f>+'each ball vs theory'!I17</f>
        <v>0</v>
      </c>
      <c r="H208" s="24">
        <f>+'each ball vs theory'!J17</f>
        <v>10.813774420281106</v>
      </c>
    </row>
    <row r="209" spans="1:10" x14ac:dyDescent="0.35">
      <c r="A209" s="24">
        <f>+'each ball vs theory'!I18</f>
        <v>1</v>
      </c>
      <c r="H209" s="24">
        <f>+'each ball vs theory'!J18</f>
        <v>10.820060418545493</v>
      </c>
    </row>
    <row r="210" spans="1:10" x14ac:dyDescent="0.35">
      <c r="A210" s="24">
        <f>+'each ball vs theory'!I19</f>
        <v>2</v>
      </c>
      <c r="H210" s="24">
        <f>+'each ball vs theory'!J19</f>
        <v>10.827260506215369</v>
      </c>
    </row>
    <row r="211" spans="1:10" x14ac:dyDescent="0.35">
      <c r="A211" s="24">
        <f>+'each ball vs theory'!I20</f>
        <v>3</v>
      </c>
      <c r="H211" s="24">
        <f>+'each ball vs theory'!J20</f>
        <v>10.840075714518932</v>
      </c>
    </row>
    <row r="212" spans="1:10" x14ac:dyDescent="0.35">
      <c r="A212" s="24">
        <f>+'each ball vs theory'!I21</f>
        <v>4</v>
      </c>
      <c r="H212" s="24">
        <f>+'each ball vs theory'!J21</f>
        <v>10.852890922822498</v>
      </c>
    </row>
    <row r="213" spans="1:10" x14ac:dyDescent="0.35">
      <c r="A213" s="24">
        <f>+'each ball vs theory'!I22</f>
        <v>5</v>
      </c>
      <c r="H213" s="24">
        <f>+'each ball vs theory'!J22</f>
        <v>10.865706131126062</v>
      </c>
    </row>
    <row r="214" spans="1:10" x14ac:dyDescent="0.35">
      <c r="A214" s="24">
        <f>+'each ball vs theory'!I23</f>
        <v>6</v>
      </c>
      <c r="H214" s="24">
        <f>+'each ball vs theory'!J23</f>
        <v>10.878521339429625</v>
      </c>
    </row>
    <row r="215" spans="1:10" x14ac:dyDescent="0.35">
      <c r="A215" s="24">
        <f>+'each ball vs theory'!I24</f>
        <v>7</v>
      </c>
      <c r="H215" s="24">
        <f>+'each ball vs theory'!J24</f>
        <v>10.891336547733189</v>
      </c>
    </row>
    <row r="216" spans="1:10" x14ac:dyDescent="0.35">
      <c r="A216" s="24">
        <f>+'each ball vs theory'!I25</f>
        <v>8</v>
      </c>
      <c r="H216" s="24">
        <f>+'each ball vs theory'!J25</f>
        <v>10.904151756036754</v>
      </c>
    </row>
    <row r="217" spans="1:10" x14ac:dyDescent="0.35">
      <c r="A217" s="24">
        <f>+'each ball vs theory'!I26</f>
        <v>10</v>
      </c>
      <c r="H217" s="24">
        <f>+'each ball vs theory'!J26</f>
        <v>10.929782172643883</v>
      </c>
    </row>
    <row r="219" spans="1:10" x14ac:dyDescent="0.35">
      <c r="H219" s="26">
        <v>1</v>
      </c>
    </row>
    <row r="220" spans="1:10" ht="72.5" x14ac:dyDescent="0.35">
      <c r="A220" s="52" t="s">
        <v>486</v>
      </c>
      <c r="B220" s="52" t="s">
        <v>70</v>
      </c>
      <c r="C220" s="52" t="s">
        <v>885</v>
      </c>
      <c r="D220" s="52" t="s">
        <v>886</v>
      </c>
      <c r="E220" s="110" t="s">
        <v>820</v>
      </c>
      <c r="F220" s="110" t="s">
        <v>821</v>
      </c>
      <c r="G220" s="110" t="s">
        <v>822</v>
      </c>
      <c r="H220" s="110" t="str">
        <f>+TEXT($H$219*100,0)&amp;"% more wet, 3 kept in bag"</f>
        <v>100% more wet, 3 kept in bag</v>
      </c>
      <c r="I220" s="110" t="s">
        <v>826</v>
      </c>
      <c r="J220" s="110" t="s">
        <v>827</v>
      </c>
    </row>
    <row r="221" spans="1:10" x14ac:dyDescent="0.35">
      <c r="A221" s="24">
        <f>+A4</f>
        <v>4</v>
      </c>
      <c r="B221">
        <f>+B4</f>
        <v>11.8</v>
      </c>
    </row>
    <row r="222" spans="1:10" x14ac:dyDescent="0.35">
      <c r="A222" s="24">
        <f t="shared" ref="A222:B222" si="26">+A5</f>
        <v>4.45</v>
      </c>
      <c r="B222">
        <f t="shared" si="26"/>
        <v>11.2</v>
      </c>
    </row>
    <row r="223" spans="1:10" x14ac:dyDescent="0.35">
      <c r="A223" s="24">
        <f t="shared" ref="A223:B223" si="27">+A6</f>
        <v>4.9000000000000004</v>
      </c>
      <c r="B223">
        <f t="shared" si="27"/>
        <v>11.5</v>
      </c>
    </row>
    <row r="224" spans="1:10" x14ac:dyDescent="0.35">
      <c r="A224" s="24">
        <f t="shared" ref="A224:B224" si="28">+A7</f>
        <v>5.3500000000000005</v>
      </c>
      <c r="B224">
        <f t="shared" si="28"/>
        <v>11</v>
      </c>
    </row>
    <row r="225" spans="1:4" x14ac:dyDescent="0.35">
      <c r="A225" s="24">
        <f t="shared" ref="A225:B225" si="29">+A8</f>
        <v>5.8000000000000007</v>
      </c>
      <c r="B225">
        <f t="shared" si="29"/>
        <v>11.45</v>
      </c>
    </row>
    <row r="226" spans="1:4" x14ac:dyDescent="0.35">
      <c r="A226" s="24">
        <f t="shared" ref="A226:B226" si="30">+A9</f>
        <v>6.2500000000000009</v>
      </c>
      <c r="B226">
        <f t="shared" si="30"/>
        <v>11.95</v>
      </c>
    </row>
    <row r="227" spans="1:4" x14ac:dyDescent="0.35">
      <c r="A227" s="24">
        <f t="shared" ref="A227:B227" si="31">+A10</f>
        <v>6.7000000000000011</v>
      </c>
      <c r="B227">
        <f t="shared" si="31"/>
        <v>12.3</v>
      </c>
    </row>
    <row r="228" spans="1:4" x14ac:dyDescent="0.35">
      <c r="A228" s="24">
        <f t="shared" ref="A228:B228" si="32">+A11</f>
        <v>7.1500000000000012</v>
      </c>
      <c r="B228">
        <f t="shared" si="32"/>
        <v>11.55</v>
      </c>
    </row>
    <row r="229" spans="1:4" x14ac:dyDescent="0.35">
      <c r="A229" s="24">
        <f t="shared" ref="A229:B229" si="33">+A12</f>
        <v>7.6000000000000014</v>
      </c>
      <c r="B229">
        <f t="shared" si="33"/>
        <v>11.35</v>
      </c>
    </row>
    <row r="230" spans="1:4" x14ac:dyDescent="0.35">
      <c r="A230" s="24">
        <f t="shared" ref="A230:B230" si="34">+A13</f>
        <v>8.0500000000000007</v>
      </c>
      <c r="B230">
        <f t="shared" si="34"/>
        <v>10.9</v>
      </c>
    </row>
    <row r="231" spans="1:4" x14ac:dyDescent="0.35">
      <c r="A231" s="24">
        <f t="shared" ref="A231:B231" si="35">+A14</f>
        <v>8.5</v>
      </c>
      <c r="B231">
        <f t="shared" si="35"/>
        <v>11.35</v>
      </c>
    </row>
    <row r="232" spans="1:4" x14ac:dyDescent="0.35">
      <c r="A232" s="24">
        <f>+'each ball vs theory'!I94</f>
        <v>0</v>
      </c>
      <c r="C232" s="24">
        <f>+'each ball vs theory'!J94</f>
        <v>10.968589398023031</v>
      </c>
    </row>
    <row r="233" spans="1:4" x14ac:dyDescent="0.35">
      <c r="A233" s="24">
        <f>+'each ball vs theory'!I95</f>
        <v>2</v>
      </c>
      <c r="C233" s="24">
        <f>+'each ball vs theory'!J95</f>
        <v>11.303834230699582</v>
      </c>
    </row>
    <row r="234" spans="1:4" x14ac:dyDescent="0.35">
      <c r="A234" s="24">
        <f>+'each ball vs theory'!I96</f>
        <v>3.65</v>
      </c>
      <c r="C234" s="24">
        <f>+'each ball vs theory'!J96</f>
        <v>11.580367106495542</v>
      </c>
    </row>
    <row r="235" spans="1:4" x14ac:dyDescent="0.35">
      <c r="A235" s="24">
        <f>+'each ball vs theory'!I97</f>
        <v>4</v>
      </c>
      <c r="C235" s="24">
        <f>+'each ball vs theory'!J97</f>
        <v>11.62761016120562</v>
      </c>
    </row>
    <row r="236" spans="1:4" x14ac:dyDescent="0.35">
      <c r="A236" s="24">
        <f>+'each ball vs theory'!I98</f>
        <v>6.25</v>
      </c>
      <c r="C236" s="24">
        <f>+'each ball vs theory'!J98</f>
        <v>11.915435494523315</v>
      </c>
    </row>
    <row r="237" spans="1:4" x14ac:dyDescent="0.35">
      <c r="A237" s="24">
        <f>+'each ball vs theory'!I99</f>
        <v>6.7</v>
      </c>
      <c r="C237" s="24">
        <f>+'each ball vs theory'!J99</f>
        <v>11.947592531762947</v>
      </c>
    </row>
    <row r="238" spans="1:4" x14ac:dyDescent="0.35">
      <c r="A238" s="24">
        <f>+'each ball vs theory'!I100</f>
        <v>9</v>
      </c>
      <c r="C238" s="24">
        <f>+'each ball vs theory'!J100</f>
        <v>12.111950722098845</v>
      </c>
    </row>
    <row r="239" spans="1:4" x14ac:dyDescent="0.35">
      <c r="A239" s="24">
        <f>+'each ball vs theory'!I101</f>
        <v>10</v>
      </c>
      <c r="C239" s="24">
        <f>+'each ball vs theory'!J101</f>
        <v>12.155620772671183</v>
      </c>
    </row>
    <row r="240" spans="1:4" x14ac:dyDescent="0.35">
      <c r="A240" s="24">
        <f>+'each ball vs theory'!I83</f>
        <v>0</v>
      </c>
      <c r="C240" s="24"/>
      <c r="D240" s="24">
        <f>+'each ball vs theory'!J83</f>
        <v>10.916089398023031</v>
      </c>
    </row>
    <row r="241" spans="1:6" x14ac:dyDescent="0.35">
      <c r="A241" s="24">
        <f>+'each ball vs theory'!I84</f>
        <v>2.5</v>
      </c>
      <c r="C241" s="24"/>
      <c r="D241" s="24">
        <f>+'each ball vs theory'!J84</f>
        <v>11.284388323764947</v>
      </c>
    </row>
    <row r="242" spans="1:6" x14ac:dyDescent="0.35">
      <c r="A242" s="24">
        <f>+'each ball vs theory'!I85</f>
        <v>3.65</v>
      </c>
      <c r="C242" s="24"/>
      <c r="D242" s="24">
        <f>+'each ball vs theory'!J85</f>
        <v>11.432283361133184</v>
      </c>
    </row>
    <row r="243" spans="1:6" x14ac:dyDescent="0.35">
      <c r="A243" s="24">
        <f>+'each ball vs theory'!I86</f>
        <v>4</v>
      </c>
      <c r="C243" s="24"/>
      <c r="D243" s="24">
        <f>+'each ball vs theory'!J86</f>
        <v>11.468537786635904</v>
      </c>
    </row>
    <row r="244" spans="1:6" x14ac:dyDescent="0.35">
      <c r="A244" s="24">
        <f>+'each ball vs theory'!I87</f>
        <v>6.25</v>
      </c>
      <c r="C244" s="24"/>
      <c r="D244" s="24">
        <f>+'each ball vs theory'!J87</f>
        <v>11.691051720938312</v>
      </c>
    </row>
    <row r="245" spans="1:6" x14ac:dyDescent="0.35">
      <c r="A245" s="24">
        <f>+'each ball vs theory'!I88</f>
        <v>6.7</v>
      </c>
      <c r="C245" s="24"/>
      <c r="D245" s="24">
        <f>+'each ball vs theory'!J88</f>
        <v>11.718674140368956</v>
      </c>
    </row>
    <row r="246" spans="1:6" x14ac:dyDescent="0.35">
      <c r="A246" s="24">
        <f>+'each ball vs theory'!I89</f>
        <v>8.0500000000000007</v>
      </c>
      <c r="C246" s="24"/>
      <c r="D246" s="24">
        <f>+'each ball vs theory'!J89</f>
        <v>11.801541398660886</v>
      </c>
    </row>
    <row r="247" spans="1:6" x14ac:dyDescent="0.35">
      <c r="A247" s="24">
        <f>+'each ball vs theory'!I90</f>
        <v>9.4</v>
      </c>
      <c r="C247" s="24"/>
      <c r="D247" s="24">
        <f>+'each ball vs theory'!J90</f>
        <v>11.872745857637657</v>
      </c>
    </row>
    <row r="248" spans="1:6" x14ac:dyDescent="0.35">
      <c r="A248" s="24">
        <f>+'each ball vs theory'!I91</f>
        <v>10</v>
      </c>
      <c r="C248" s="24"/>
      <c r="D248" s="24">
        <f>+'each ball vs theory'!J91</f>
        <v>11.892081551239107</v>
      </c>
    </row>
    <row r="249" spans="1:6" x14ac:dyDescent="0.35">
      <c r="A249" s="24">
        <f>+'each ball vs theory'!I56</f>
        <v>0</v>
      </c>
      <c r="E249" s="24">
        <f>+'each ball vs theory'!J56</f>
        <v>10.968589398023031</v>
      </c>
    </row>
    <row r="250" spans="1:6" x14ac:dyDescent="0.35">
      <c r="A250" s="24">
        <f>+'each ball vs theory'!I57</f>
        <v>2</v>
      </c>
      <c r="E250" s="24">
        <f>+'each ball vs theory'!J57</f>
        <v>11.007554489971598</v>
      </c>
    </row>
    <row r="251" spans="1:6" x14ac:dyDescent="0.35">
      <c r="A251" s="24">
        <f>+'each ball vs theory'!I58</f>
        <v>4.45</v>
      </c>
      <c r="E251" s="24">
        <f>+'each ball vs theory'!J58</f>
        <v>11.074153141254907</v>
      </c>
    </row>
    <row r="252" spans="1:6" x14ac:dyDescent="0.35">
      <c r="A252" s="24">
        <f>+'each ball vs theory'!I59</f>
        <v>5.35</v>
      </c>
      <c r="E252" s="24">
        <f>+'each ball vs theory'!J59</f>
        <v>11.098617951930409</v>
      </c>
    </row>
    <row r="253" spans="1:6" x14ac:dyDescent="0.35">
      <c r="A253" s="24">
        <f>+'each ball vs theory'!I60</f>
        <v>8.0500000000000007</v>
      </c>
      <c r="E253" s="24">
        <f>+'each ball vs theory'!J60</f>
        <v>11.165151262569902</v>
      </c>
    </row>
    <row r="254" spans="1:6" x14ac:dyDescent="0.35">
      <c r="A254" s="24">
        <f>+'each ball vs theory'!I61</f>
        <v>10</v>
      </c>
      <c r="E254" s="24">
        <f>+'each ball vs theory'!J61</f>
        <v>11.202272993242463</v>
      </c>
    </row>
    <row r="255" spans="1:6" x14ac:dyDescent="0.35">
      <c r="A255" s="24">
        <f>+'each ball vs theory'!I39</f>
        <v>0</v>
      </c>
      <c r="F255" s="24">
        <f>+'each ball vs theory'!J39</f>
        <v>10.916089398023031</v>
      </c>
    </row>
    <row r="256" spans="1:6" x14ac:dyDescent="0.35">
      <c r="A256" s="24">
        <f>+'each ball vs theory'!I40</f>
        <v>2</v>
      </c>
      <c r="F256" s="24">
        <f>+'each ball vs theory'!J40</f>
        <v>10.948330466416495</v>
      </c>
    </row>
    <row r="257" spans="1:8" x14ac:dyDescent="0.35">
      <c r="A257" s="24">
        <f>+'each ball vs theory'!I41</f>
        <v>4.45</v>
      </c>
      <c r="F257" s="24">
        <f>+'each ball vs theory'!J41</f>
        <v>11.002702580272747</v>
      </c>
    </row>
    <row r="258" spans="1:8" x14ac:dyDescent="0.35">
      <c r="A258" s="24">
        <f>+'each ball vs theory'!I42</f>
        <v>5.35</v>
      </c>
      <c r="F258" s="24">
        <f>+'each ball vs theory'!J42</f>
        <v>11.022676009852594</v>
      </c>
    </row>
    <row r="259" spans="1:8" x14ac:dyDescent="0.35">
      <c r="A259" s="24">
        <f>+'each ball vs theory'!I43</f>
        <v>8.0500000000000007</v>
      </c>
      <c r="F259" s="24">
        <f>+'each ball vs theory'!J43</f>
        <v>11.07550091996529</v>
      </c>
    </row>
    <row r="260" spans="1:8" x14ac:dyDescent="0.35">
      <c r="A260" s="24">
        <f>+'each ball vs theory'!I44</f>
        <v>10</v>
      </c>
      <c r="F260" s="24">
        <f>+'each ball vs theory'!J44</f>
        <v>11.102348955808647</v>
      </c>
    </row>
    <row r="261" spans="1:8" x14ac:dyDescent="0.35">
      <c r="A261" s="24">
        <f>+'each ball vs theory'!I62</f>
        <v>0</v>
      </c>
      <c r="G261" s="24">
        <f>+'each ball vs theory'!J62</f>
        <v>11.05558656248428</v>
      </c>
    </row>
    <row r="262" spans="1:8" x14ac:dyDescent="0.35">
      <c r="A262" s="24">
        <f>+'each ball vs theory'!I63</f>
        <v>2</v>
      </c>
      <c r="G262" s="24">
        <f>+'each ball vs theory'!J63</f>
        <v>11.097343321099514</v>
      </c>
    </row>
    <row r="263" spans="1:8" x14ac:dyDescent="0.35">
      <c r="A263" s="24">
        <f>+'each ball vs theory'!I64</f>
        <v>4</v>
      </c>
      <c r="G263" s="24">
        <f>+'each ball vs theory'!J64</f>
        <v>11.154501233711736</v>
      </c>
    </row>
    <row r="264" spans="1:8" x14ac:dyDescent="0.35">
      <c r="A264" s="24">
        <f>+'each ball vs theory'!I65</f>
        <v>6</v>
      </c>
      <c r="G264" s="24">
        <f>+'each ball vs theory'!J65</f>
        <v>11.211659146323962</v>
      </c>
    </row>
    <row r="265" spans="1:8" x14ac:dyDescent="0.35">
      <c r="A265" s="24">
        <f>+'each ball vs theory'!I66</f>
        <v>8</v>
      </c>
      <c r="G265" s="24">
        <f>+'each ball vs theory'!J66</f>
        <v>11.262363254449799</v>
      </c>
    </row>
    <row r="266" spans="1:8" x14ac:dyDescent="0.35">
      <c r="A266" s="24">
        <f>+'each ball vs theory'!I45</f>
        <v>0</v>
      </c>
      <c r="H266" s="24">
        <f>+'each ball vs theory'!J45</f>
        <v>10.776592233561782</v>
      </c>
    </row>
    <row r="267" spans="1:8" x14ac:dyDescent="0.35">
      <c r="A267" s="24">
        <f>+'each ball vs theory'!I46</f>
        <v>1</v>
      </c>
      <c r="H267" s="24">
        <f>+'each ball vs theory'!J46</f>
        <v>10.787279728533115</v>
      </c>
    </row>
    <row r="268" spans="1:8" x14ac:dyDescent="0.35">
      <c r="A268" s="24">
        <f>+'each ball vs theory'!I47</f>
        <v>2</v>
      </c>
      <c r="H268" s="24">
        <f>+'each ball vs theory'!J47</f>
        <v>10.80604163528858</v>
      </c>
    </row>
    <row r="269" spans="1:8" x14ac:dyDescent="0.35">
      <c r="A269" s="24">
        <f>+'each ball vs theory'!I48</f>
        <v>3</v>
      </c>
      <c r="H269" s="24">
        <f>+'each ball vs theory'!J48</f>
        <v>10.82683850148841</v>
      </c>
    </row>
    <row r="270" spans="1:8" x14ac:dyDescent="0.35">
      <c r="A270" s="24">
        <f>+'each ball vs theory'!I49</f>
        <v>4</v>
      </c>
      <c r="H270" s="24">
        <f>+'each ball vs theory'!J49</f>
        <v>10.847635367688239</v>
      </c>
    </row>
    <row r="271" spans="1:8" x14ac:dyDescent="0.35">
      <c r="A271" s="24">
        <f>+'each ball vs theory'!I50</f>
        <v>4</v>
      </c>
      <c r="H271" s="24">
        <f>+'each ball vs theory'!J50</f>
        <v>10.847635367688239</v>
      </c>
    </row>
    <row r="272" spans="1:8" x14ac:dyDescent="0.35">
      <c r="A272" s="24">
        <f>+'each ball vs theory'!I51</f>
        <v>5</v>
      </c>
      <c r="H272" s="24">
        <f>+'each ball vs theory'!J51</f>
        <v>10.868432233888072</v>
      </c>
    </row>
    <row r="273" spans="1:10" x14ac:dyDescent="0.35">
      <c r="A273" s="24">
        <f>+'each ball vs theory'!I52</f>
        <v>6</v>
      </c>
      <c r="H273" s="24">
        <f>+'each ball vs theory'!J52</f>
        <v>10.889229100087903</v>
      </c>
    </row>
    <row r="274" spans="1:10" x14ac:dyDescent="0.35">
      <c r="A274" s="24">
        <f>+'each ball vs theory'!I53</f>
        <v>7</v>
      </c>
      <c r="H274" s="24">
        <f>+'each ball vs theory'!J53</f>
        <v>10.910025966287733</v>
      </c>
    </row>
    <row r="275" spans="1:10" x14ac:dyDescent="0.35">
      <c r="A275" s="24">
        <f>+'each ball vs theory'!I54</f>
        <v>8</v>
      </c>
      <c r="H275" s="24">
        <f>+'each ball vs theory'!J54</f>
        <v>10.924148677661902</v>
      </c>
    </row>
    <row r="276" spans="1:10" x14ac:dyDescent="0.35">
      <c r="A276" s="24">
        <f>+'each ball vs theory'!I55</f>
        <v>10</v>
      </c>
      <c r="H276" s="24">
        <f>+'each ball vs theory'!J55</f>
        <v>10.948893458014066</v>
      </c>
    </row>
    <row r="277" spans="1:10" x14ac:dyDescent="0.35">
      <c r="A277" s="24">
        <f>+'each ball vs theory'!I77</f>
        <v>3.65</v>
      </c>
      <c r="I277" s="24">
        <f>+'each ball vs theory'!J77</f>
        <v>11.540172144176099</v>
      </c>
    </row>
    <row r="278" spans="1:10" x14ac:dyDescent="0.35">
      <c r="A278" s="24">
        <f>+'each ball vs theory'!I78</f>
        <v>4.9000000000000004</v>
      </c>
      <c r="I278" s="24">
        <f>+'each ball vs theory'!J78</f>
        <v>11.529086577021161</v>
      </c>
    </row>
    <row r="279" spans="1:10" x14ac:dyDescent="0.35">
      <c r="A279" s="24">
        <f>+'each ball vs theory'!I79</f>
        <v>5.8</v>
      </c>
      <c r="I279" s="24">
        <f>+'each ball vs theory'!J79</f>
        <v>11.521104968669603</v>
      </c>
    </row>
    <row r="280" spans="1:10" x14ac:dyDescent="0.35">
      <c r="A280" s="24">
        <f>+'each ball vs theory'!I80</f>
        <v>7.15</v>
      </c>
      <c r="I280" s="24">
        <f>+'each ball vs theory'!J80</f>
        <v>11.513931954628172</v>
      </c>
    </row>
    <row r="281" spans="1:10" x14ac:dyDescent="0.35">
      <c r="A281" s="24">
        <f>+'each ball vs theory'!I81</f>
        <v>7.6</v>
      </c>
      <c r="I281" s="24">
        <f>+'each ball vs theory'!J81</f>
        <v>11.511819175946876</v>
      </c>
    </row>
    <row r="282" spans="1:10" x14ac:dyDescent="0.35">
      <c r="A282" s="24">
        <f>+'each ball vs theory'!I82</f>
        <v>8.5</v>
      </c>
      <c r="I282" s="24">
        <f>+'each ball vs theory'!J82</f>
        <v>11.507593618584288</v>
      </c>
    </row>
    <row r="283" spans="1:10" x14ac:dyDescent="0.35">
      <c r="A283" s="24">
        <f>+'each ball vs theory'!I70</f>
        <v>3.65</v>
      </c>
      <c r="I283" s="24"/>
      <c r="J283" s="24">
        <f>+'each ball vs theory'!J70</f>
        <v>11.399959811587397</v>
      </c>
    </row>
    <row r="284" spans="1:10" x14ac:dyDescent="0.35">
      <c r="A284" s="24">
        <f>+'each ball vs theory'!I71</f>
        <v>4.9000000000000004</v>
      </c>
      <c r="I284" s="24"/>
      <c r="J284" s="24">
        <f>+'each ball vs theory'!J71</f>
        <v>11.392646791328168</v>
      </c>
    </row>
    <row r="285" spans="1:10" x14ac:dyDescent="0.35">
      <c r="A285" s="24">
        <f>+'each ball vs theory'!I72</f>
        <v>5.8</v>
      </c>
      <c r="I285" s="24"/>
      <c r="J285" s="24">
        <f>+'each ball vs theory'!J72</f>
        <v>11.387381416741526</v>
      </c>
    </row>
    <row r="286" spans="1:10" x14ac:dyDescent="0.35">
      <c r="A286" s="24">
        <f>+'each ball vs theory'!I73</f>
        <v>7.15</v>
      </c>
      <c r="I286" s="24"/>
      <c r="J286" s="24">
        <f>+'each ball vs theory'!J73</f>
        <v>11.37728944878379</v>
      </c>
    </row>
    <row r="287" spans="1:10" x14ac:dyDescent="0.35">
      <c r="A287" s="24">
        <f>+'each ball vs theory'!I74</f>
        <v>7.6</v>
      </c>
      <c r="I287" s="24"/>
      <c r="J287" s="24">
        <f>+'each ball vs theory'!J74</f>
        <v>11.374656761490469</v>
      </c>
    </row>
    <row r="288" spans="1:10" x14ac:dyDescent="0.35">
      <c r="A288" s="24">
        <f>+'each ball vs theory'!I75</f>
        <v>8.5</v>
      </c>
      <c r="I288" s="24"/>
      <c r="J288" s="24">
        <f>+'each ball vs theory'!J75</f>
        <v>11.369391386903825</v>
      </c>
    </row>
  </sheetData>
  <hyperlinks>
    <hyperlink ref="L181" location="bk_each_ball_and_theory" display="is in the each ball vs. theory tab "/>
    <hyperlink ref="I131" location="bk_each_ball_and_theory" display="is in the each ball vs. theory tab "/>
    <hyperlink ref="I132" location="bookmark_index" display="Index"/>
  </hyperlink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4.5" x14ac:dyDescent="0.35"/>
  <cols>
    <col min="1" max="1" width="8.7265625" style="55"/>
    <col min="2" max="2" width="11.36328125" style="55" bestFit="1" customWidth="1"/>
    <col min="3" max="3" width="28.90625" style="55" customWidth="1"/>
    <col min="4" max="4" width="29.36328125" style="55" customWidth="1"/>
    <col min="5" max="5" width="10.90625" style="55" customWidth="1"/>
    <col min="6" max="16384" width="8.7265625" style="55"/>
  </cols>
  <sheetData>
    <row r="1" spans="1:5" x14ac:dyDescent="0.35">
      <c r="B1" s="16" t="s">
        <v>577</v>
      </c>
    </row>
    <row r="2" spans="1:5" ht="43.5" x14ac:dyDescent="0.35">
      <c r="A2" s="18" t="s">
        <v>513</v>
      </c>
      <c r="B2" s="18" t="s">
        <v>514</v>
      </c>
      <c r="C2" s="18" t="s">
        <v>511</v>
      </c>
      <c r="D2" s="18" t="s">
        <v>520</v>
      </c>
      <c r="E2" s="18" t="s">
        <v>517</v>
      </c>
    </row>
    <row r="3" spans="1:5" ht="29" x14ac:dyDescent="0.35">
      <c r="A3" s="18">
        <f>12/60</f>
        <v>0.2</v>
      </c>
      <c r="B3" s="18">
        <v>0</v>
      </c>
      <c r="C3" s="18" t="s">
        <v>704</v>
      </c>
      <c r="D3" s="18"/>
      <c r="E3" s="18"/>
    </row>
    <row r="4" spans="1:5" x14ac:dyDescent="0.35">
      <c r="A4" s="5">
        <v>0</v>
      </c>
      <c r="B4" s="5">
        <v>0</v>
      </c>
      <c r="C4" s="5" t="s">
        <v>512</v>
      </c>
      <c r="D4" s="5" t="s">
        <v>521</v>
      </c>
      <c r="E4" s="5" t="s">
        <v>547</v>
      </c>
    </row>
    <row r="5" spans="1:5" x14ac:dyDescent="0.35">
      <c r="A5" s="5">
        <v>0.15</v>
      </c>
      <c r="B5" s="5">
        <f t="shared" ref="B5:B18" si="0">+B4+A5</f>
        <v>0.15</v>
      </c>
      <c r="C5" s="5" t="s">
        <v>515</v>
      </c>
      <c r="D5" s="5"/>
      <c r="E5" s="5" t="s">
        <v>64</v>
      </c>
    </row>
    <row r="6" spans="1:5" ht="29" x14ac:dyDescent="0.35">
      <c r="A6" s="5">
        <v>0.1</v>
      </c>
      <c r="B6" s="5">
        <f t="shared" si="0"/>
        <v>0.25</v>
      </c>
      <c r="C6" s="5" t="s">
        <v>522</v>
      </c>
      <c r="D6" s="5" t="s">
        <v>519</v>
      </c>
      <c r="E6" s="5" t="s">
        <v>64</v>
      </c>
    </row>
    <row r="7" spans="1:5" ht="29" x14ac:dyDescent="0.35">
      <c r="A7" s="5">
        <v>0.1</v>
      </c>
      <c r="B7" s="5">
        <f t="shared" si="0"/>
        <v>0.35</v>
      </c>
      <c r="C7" s="5" t="s">
        <v>523</v>
      </c>
      <c r="D7" s="5" t="s">
        <v>524</v>
      </c>
      <c r="E7" s="5" t="s">
        <v>64</v>
      </c>
    </row>
    <row r="8" spans="1:5" ht="43.5" x14ac:dyDescent="0.35">
      <c r="A8" s="5">
        <v>0.5</v>
      </c>
      <c r="B8" s="5">
        <f t="shared" si="0"/>
        <v>0.85</v>
      </c>
      <c r="C8" s="5" t="s">
        <v>516</v>
      </c>
      <c r="D8" s="5" t="s">
        <v>525</v>
      </c>
      <c r="E8" s="5" t="s">
        <v>64</v>
      </c>
    </row>
    <row r="9" spans="1:5" ht="43.5" x14ac:dyDescent="0.35">
      <c r="A9" s="5">
        <v>4</v>
      </c>
      <c r="B9" s="5">
        <f t="shared" si="0"/>
        <v>4.8499999999999996</v>
      </c>
      <c r="C9" s="5" t="s">
        <v>518</v>
      </c>
      <c r="D9" s="5" t="s">
        <v>526</v>
      </c>
      <c r="E9" s="5" t="s">
        <v>64</v>
      </c>
    </row>
    <row r="10" spans="1:5" x14ac:dyDescent="0.35">
      <c r="A10" s="5">
        <v>0.15</v>
      </c>
      <c r="B10" s="5">
        <f t="shared" si="0"/>
        <v>5</v>
      </c>
      <c r="C10" s="5" t="s">
        <v>527</v>
      </c>
      <c r="D10" s="5" t="s">
        <v>500</v>
      </c>
      <c r="E10" s="5" t="s">
        <v>64</v>
      </c>
    </row>
    <row r="11" spans="1:5" ht="29" x14ac:dyDescent="0.35">
      <c r="A11" s="5">
        <v>0.1</v>
      </c>
      <c r="B11" s="5">
        <f t="shared" si="0"/>
        <v>5.0999999999999996</v>
      </c>
      <c r="C11" s="5" t="s">
        <v>528</v>
      </c>
      <c r="D11" s="5" t="s">
        <v>529</v>
      </c>
      <c r="E11" s="5" t="s">
        <v>64</v>
      </c>
    </row>
    <row r="12" spans="1:5" ht="29" x14ac:dyDescent="0.35">
      <c r="A12" s="5">
        <v>0.2</v>
      </c>
      <c r="B12" s="5">
        <f t="shared" si="0"/>
        <v>5.3</v>
      </c>
      <c r="C12" s="5" t="s">
        <v>530</v>
      </c>
      <c r="D12" s="5" t="s">
        <v>531</v>
      </c>
      <c r="E12" s="5" t="s">
        <v>64</v>
      </c>
    </row>
    <row r="13" spans="1:5" ht="29" x14ac:dyDescent="0.35">
      <c r="A13" s="5">
        <v>0.2</v>
      </c>
      <c r="B13" s="5">
        <f t="shared" si="0"/>
        <v>5.5</v>
      </c>
      <c r="C13" s="5" t="s">
        <v>532</v>
      </c>
      <c r="D13" s="5" t="s">
        <v>533</v>
      </c>
      <c r="E13" s="5" t="s">
        <v>64</v>
      </c>
    </row>
    <row r="14" spans="1:5" ht="43.5" x14ac:dyDescent="0.35">
      <c r="A14" s="5">
        <v>1</v>
      </c>
      <c r="B14" s="5">
        <f t="shared" si="0"/>
        <v>6.5</v>
      </c>
      <c r="C14" s="5" t="s">
        <v>534</v>
      </c>
      <c r="D14" s="5" t="s">
        <v>535</v>
      </c>
      <c r="E14" s="5" t="s">
        <v>64</v>
      </c>
    </row>
    <row r="15" spans="1:5" ht="29" x14ac:dyDescent="0.35">
      <c r="A15" s="5">
        <v>1</v>
      </c>
      <c r="B15" s="5">
        <f t="shared" si="0"/>
        <v>7.5</v>
      </c>
      <c r="C15" s="5" t="s">
        <v>501</v>
      </c>
      <c r="D15" s="5" t="s">
        <v>540</v>
      </c>
      <c r="E15" s="5" t="s">
        <v>64</v>
      </c>
    </row>
    <row r="16" spans="1:5" ht="43.5" x14ac:dyDescent="0.35">
      <c r="A16" s="5">
        <v>1</v>
      </c>
      <c r="B16" s="5">
        <f t="shared" si="0"/>
        <v>8.5</v>
      </c>
      <c r="C16" s="5" t="s">
        <v>506</v>
      </c>
      <c r="D16" s="5" t="s">
        <v>539</v>
      </c>
      <c r="E16" s="5" t="s">
        <v>64</v>
      </c>
    </row>
    <row r="17" spans="1:5" ht="29" x14ac:dyDescent="0.35">
      <c r="A17" s="5">
        <v>3.5</v>
      </c>
      <c r="B17" s="5">
        <f t="shared" si="0"/>
        <v>12</v>
      </c>
      <c r="C17" s="5" t="s">
        <v>536</v>
      </c>
      <c r="D17" s="5" t="s">
        <v>541</v>
      </c>
      <c r="E17" s="5" t="s">
        <v>64</v>
      </c>
    </row>
    <row r="18" spans="1:5" ht="29" x14ac:dyDescent="0.35">
      <c r="A18" s="5">
        <v>1</v>
      </c>
      <c r="B18" s="5">
        <f t="shared" si="0"/>
        <v>13</v>
      </c>
      <c r="C18" s="5" t="s">
        <v>538</v>
      </c>
      <c r="D18" s="5" t="s">
        <v>537</v>
      </c>
      <c r="E18" s="5" t="s">
        <v>64</v>
      </c>
    </row>
    <row r="19" spans="1:5" ht="29" x14ac:dyDescent="0.35">
      <c r="A19" s="5" t="s">
        <v>502</v>
      </c>
      <c r="B19" s="5">
        <v>13</v>
      </c>
      <c r="C19" s="5" t="s">
        <v>568</v>
      </c>
      <c r="D19" s="5" t="s">
        <v>503</v>
      </c>
      <c r="E19" s="5" t="s">
        <v>547</v>
      </c>
    </row>
    <row r="20" spans="1:5" ht="93.5" customHeight="1" x14ac:dyDescent="0.35">
      <c r="A20" s="222" t="s">
        <v>542</v>
      </c>
      <c r="B20" s="223"/>
      <c r="C20" s="223"/>
      <c r="D20" s="223"/>
      <c r="E20" s="206"/>
    </row>
    <row r="21" spans="1:5" ht="93.5" customHeight="1" x14ac:dyDescent="0.35">
      <c r="A21" s="60" t="s">
        <v>563</v>
      </c>
      <c r="B21" s="80" t="s">
        <v>565</v>
      </c>
      <c r="C21" s="80" t="s">
        <v>511</v>
      </c>
      <c r="D21" s="18" t="s">
        <v>564</v>
      </c>
      <c r="E21" s="81" t="s">
        <v>517</v>
      </c>
    </row>
    <row r="22" spans="1:5" ht="88.5" customHeight="1" x14ac:dyDescent="0.35">
      <c r="A22" s="5">
        <v>0</v>
      </c>
      <c r="B22" s="5">
        <v>0</v>
      </c>
      <c r="C22" s="5" t="s">
        <v>543</v>
      </c>
      <c r="D22" s="55" t="s">
        <v>566</v>
      </c>
      <c r="E22" s="5" t="s">
        <v>547</v>
      </c>
    </row>
    <row r="23" spans="1:5" ht="88.5" customHeight="1" x14ac:dyDescent="0.35">
      <c r="A23" s="5">
        <f>15/60</f>
        <v>0.25</v>
      </c>
      <c r="B23" s="5"/>
      <c r="C23" s="5" t="s">
        <v>567</v>
      </c>
      <c r="D23" s="55" t="s">
        <v>573</v>
      </c>
      <c r="E23" s="5" t="s">
        <v>547</v>
      </c>
    </row>
    <row r="24" spans="1:5" ht="29" x14ac:dyDescent="0.35">
      <c r="A24" s="5">
        <v>3</v>
      </c>
      <c r="B24" s="5">
        <f>+B22+A24</f>
        <v>3</v>
      </c>
      <c r="C24" s="5" t="s">
        <v>544</v>
      </c>
      <c r="D24" s="5" t="s">
        <v>504</v>
      </c>
      <c r="E24" s="5" t="s">
        <v>64</v>
      </c>
    </row>
    <row r="25" spans="1:5" ht="72.5" x14ac:dyDescent="0.35">
      <c r="A25" s="5">
        <v>0.5</v>
      </c>
      <c r="B25" s="5">
        <f t="shared" ref="B25:B29" si="1">+B24+A25</f>
        <v>3.5</v>
      </c>
      <c r="C25" s="5" t="s">
        <v>545</v>
      </c>
      <c r="D25" s="5" t="s">
        <v>505</v>
      </c>
      <c r="E25" s="5" t="s">
        <v>64</v>
      </c>
    </row>
    <row r="26" spans="1:5" ht="43.5" x14ac:dyDescent="0.35">
      <c r="A26" s="5">
        <v>0.5</v>
      </c>
      <c r="B26" s="5">
        <f t="shared" si="1"/>
        <v>4</v>
      </c>
      <c r="C26" s="5" t="s">
        <v>546</v>
      </c>
      <c r="D26" s="5" t="s">
        <v>507</v>
      </c>
      <c r="E26" s="5" t="s">
        <v>64</v>
      </c>
    </row>
    <row r="27" spans="1:5" ht="72.5" x14ac:dyDescent="0.35">
      <c r="A27" s="5" t="s">
        <v>569</v>
      </c>
      <c r="B27" s="5">
        <f>+B26</f>
        <v>4</v>
      </c>
      <c r="C27" s="5" t="s">
        <v>910</v>
      </c>
      <c r="D27" s="5" t="s">
        <v>911</v>
      </c>
      <c r="E27" s="5" t="s">
        <v>64</v>
      </c>
    </row>
    <row r="28" spans="1:5" ht="43.5" x14ac:dyDescent="0.35">
      <c r="A28" s="5">
        <v>3</v>
      </c>
      <c r="B28" s="5">
        <f t="shared" si="1"/>
        <v>7</v>
      </c>
      <c r="C28" s="5" t="s">
        <v>549</v>
      </c>
      <c r="D28" s="5" t="s">
        <v>548</v>
      </c>
      <c r="E28" s="5" t="s">
        <v>64</v>
      </c>
    </row>
    <row r="29" spans="1:5" ht="87" x14ac:dyDescent="0.35">
      <c r="A29" s="55">
        <v>1</v>
      </c>
      <c r="B29" s="58">
        <f t="shared" si="1"/>
        <v>8</v>
      </c>
      <c r="C29" s="55" t="s">
        <v>562</v>
      </c>
      <c r="D29" s="58" t="s">
        <v>570</v>
      </c>
      <c r="E29" s="58" t="s">
        <v>64</v>
      </c>
    </row>
    <row r="30" spans="1:5" ht="34" customHeight="1" x14ac:dyDescent="0.35">
      <c r="A30" s="224" t="s">
        <v>551</v>
      </c>
      <c r="B30" s="224"/>
      <c r="C30" s="224"/>
      <c r="D30" s="224"/>
      <c r="E30" s="214"/>
    </row>
    <row r="31" spans="1:5" ht="29" x14ac:dyDescent="0.35">
      <c r="A31" s="18" t="s">
        <v>563</v>
      </c>
      <c r="B31" s="18" t="s">
        <v>552</v>
      </c>
      <c r="C31" s="18" t="s">
        <v>511</v>
      </c>
      <c r="D31" s="18" t="s">
        <v>574</v>
      </c>
      <c r="E31" s="18" t="s">
        <v>517</v>
      </c>
    </row>
    <row r="32" spans="1:5" ht="58" x14ac:dyDescent="0.35">
      <c r="A32" s="82">
        <v>5</v>
      </c>
      <c r="B32" s="82"/>
      <c r="C32" s="82" t="s">
        <v>571</v>
      </c>
      <c r="D32" s="82" t="s">
        <v>550</v>
      </c>
      <c r="E32" s="82" t="s">
        <v>64</v>
      </c>
    </row>
    <row r="33" spans="1:5" ht="72.5" x14ac:dyDescent="0.35">
      <c r="A33" s="82">
        <v>2</v>
      </c>
      <c r="B33" s="82"/>
      <c r="C33" s="82" t="s">
        <v>553</v>
      </c>
      <c r="D33" s="82" t="s">
        <v>554</v>
      </c>
      <c r="E33" s="82" t="s">
        <v>64</v>
      </c>
    </row>
    <row r="34" spans="1:5" ht="29" x14ac:dyDescent="0.35">
      <c r="A34" s="82"/>
      <c r="B34" s="85">
        <f>+B42-B43</f>
        <v>24.166666666666668</v>
      </c>
      <c r="C34" s="82" t="s">
        <v>559</v>
      </c>
      <c r="D34" s="82" t="s">
        <v>560</v>
      </c>
      <c r="E34" s="82" t="s">
        <v>572</v>
      </c>
    </row>
    <row r="35" spans="1:5" ht="43.5" x14ac:dyDescent="0.35">
      <c r="A35" s="82"/>
      <c r="B35" s="85">
        <f>+B34-A32</f>
        <v>19.166666666666668</v>
      </c>
      <c r="C35" s="82" t="s">
        <v>561</v>
      </c>
      <c r="D35" s="82" t="s">
        <v>575</v>
      </c>
      <c r="E35" s="82" t="s">
        <v>572</v>
      </c>
    </row>
    <row r="36" spans="1:5" x14ac:dyDescent="0.35">
      <c r="A36" s="224" t="s">
        <v>556</v>
      </c>
      <c r="B36" s="224"/>
      <c r="C36" s="224"/>
      <c r="D36" s="224"/>
      <c r="E36" s="217"/>
    </row>
    <row r="37" spans="1:5" ht="58" x14ac:dyDescent="0.35">
      <c r="A37" s="82">
        <v>1</v>
      </c>
      <c r="B37" s="82"/>
      <c r="C37" s="82"/>
      <c r="D37" s="82" t="s">
        <v>555</v>
      </c>
      <c r="E37" s="82" t="s">
        <v>64</v>
      </c>
    </row>
    <row r="38" spans="1:5" ht="58" x14ac:dyDescent="0.35">
      <c r="A38" s="82">
        <v>0.5</v>
      </c>
      <c r="B38" s="82"/>
      <c r="C38" s="82"/>
      <c r="D38" s="82" t="s">
        <v>508</v>
      </c>
      <c r="E38" s="82" t="s">
        <v>64</v>
      </c>
    </row>
    <row r="39" spans="1:5" ht="29" x14ac:dyDescent="0.35">
      <c r="A39" s="82">
        <v>2</v>
      </c>
      <c r="B39" s="82"/>
      <c r="C39" s="82"/>
      <c r="D39" s="82" t="s">
        <v>509</v>
      </c>
      <c r="E39" s="82" t="s">
        <v>64</v>
      </c>
    </row>
    <row r="40" spans="1:5" ht="29" x14ac:dyDescent="0.35">
      <c r="A40" s="82">
        <v>0.5</v>
      </c>
      <c r="B40" s="82"/>
      <c r="C40" s="82"/>
      <c r="D40" s="82" t="s">
        <v>510</v>
      </c>
      <c r="E40" s="82" t="s">
        <v>64</v>
      </c>
    </row>
    <row r="41" spans="1:5" ht="58" x14ac:dyDescent="0.35">
      <c r="A41" s="82">
        <v>0.25</v>
      </c>
      <c r="B41" s="82"/>
      <c r="C41" s="82"/>
      <c r="D41" s="82" t="s">
        <v>557</v>
      </c>
      <c r="E41" s="82" t="s">
        <v>64</v>
      </c>
    </row>
    <row r="42" spans="1:5" ht="72.5" x14ac:dyDescent="0.35">
      <c r="A42" s="82"/>
      <c r="B42" s="83">
        <f>28+25/60</f>
        <v>28.416666666666668</v>
      </c>
      <c r="C42" s="82"/>
      <c r="D42" s="82" t="s">
        <v>558</v>
      </c>
      <c r="E42" s="82" t="s">
        <v>547</v>
      </c>
    </row>
    <row r="43" spans="1:5" ht="29" x14ac:dyDescent="0.35">
      <c r="A43" s="82"/>
      <c r="B43" s="83">
        <f>+SUM(A37:A41)</f>
        <v>4.25</v>
      </c>
      <c r="C43" s="82"/>
      <c r="D43" s="82" t="s">
        <v>576</v>
      </c>
      <c r="E43" s="82" t="s">
        <v>572</v>
      </c>
    </row>
  </sheetData>
  <mergeCells count="3">
    <mergeCell ref="A20:E20"/>
    <mergeCell ref="A36:E36"/>
    <mergeCell ref="A30:E30"/>
  </mergeCells>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B4" sqref="B4"/>
    </sheetView>
  </sheetViews>
  <sheetFormatPr defaultRowHeight="14.5" x14ac:dyDescent="0.35"/>
  <cols>
    <col min="2" max="2" width="15.7265625" bestFit="1" customWidth="1"/>
    <col min="3" max="4" width="13.6328125" customWidth="1"/>
    <col min="6" max="6" width="12.26953125" customWidth="1"/>
    <col min="9" max="9" width="14.7265625" bestFit="1" customWidth="1"/>
  </cols>
  <sheetData>
    <row r="1" spans="1:10" ht="15.5" x14ac:dyDescent="0.35">
      <c r="B1" s="190" t="s">
        <v>994</v>
      </c>
    </row>
    <row r="2" spans="1:10" x14ac:dyDescent="0.35">
      <c r="B2" t="s">
        <v>996</v>
      </c>
    </row>
    <row r="3" spans="1:10" x14ac:dyDescent="0.35">
      <c r="B3" t="s">
        <v>997</v>
      </c>
    </row>
    <row r="4" spans="1:10" x14ac:dyDescent="0.35">
      <c r="A4" t="s">
        <v>761</v>
      </c>
      <c r="B4" s="78" t="s">
        <v>762</v>
      </c>
      <c r="C4" t="s">
        <v>763</v>
      </c>
      <c r="D4" t="s">
        <v>764</v>
      </c>
      <c r="E4" t="s">
        <v>879</v>
      </c>
      <c r="F4" t="s">
        <v>765</v>
      </c>
      <c r="G4" t="s">
        <v>765</v>
      </c>
      <c r="H4" t="s">
        <v>70</v>
      </c>
      <c r="I4" t="s">
        <v>880</v>
      </c>
    </row>
    <row r="5" spans="1:10" x14ac:dyDescent="0.35">
      <c r="A5">
        <v>1</v>
      </c>
      <c r="B5">
        <v>11.5</v>
      </c>
      <c r="C5">
        <v>11.8</v>
      </c>
      <c r="D5">
        <f>+A5</f>
        <v>1</v>
      </c>
      <c r="E5" s="15">
        <f>+B5-C5</f>
        <v>-0.30000000000000071</v>
      </c>
      <c r="F5" s="15">
        <f>$G$10</f>
        <v>-0.33333333333333331</v>
      </c>
      <c r="H5">
        <f>+(B5+0.1444)/1.015</f>
        <v>11.472315270935962</v>
      </c>
      <c r="I5">
        <f>+(B5+0.1444)/1.015</f>
        <v>11.472315270935962</v>
      </c>
    </row>
    <row r="6" spans="1:10" x14ac:dyDescent="0.35">
      <c r="A6">
        <v>2</v>
      </c>
      <c r="B6">
        <v>10.85</v>
      </c>
      <c r="C6">
        <v>11.2</v>
      </c>
      <c r="D6">
        <f t="shared" ref="D6:D15" si="0">+A6</f>
        <v>2</v>
      </c>
      <c r="E6" s="15">
        <f t="shared" ref="E6:E15" si="1">+B6-C6</f>
        <v>-0.34999999999999964</v>
      </c>
      <c r="F6" s="15">
        <f t="shared" ref="F6:F10" si="2">$G$10</f>
        <v>-0.33333333333333331</v>
      </c>
      <c r="H6">
        <f t="shared" ref="H6:H10" si="3">+(B6+0.1444)/1.015</f>
        <v>10.83192118226601</v>
      </c>
      <c r="I6">
        <f t="shared" ref="I6:I15" si="4">+(B6+0.1444)/1.015</f>
        <v>10.83192118226601</v>
      </c>
    </row>
    <row r="7" spans="1:10" x14ac:dyDescent="0.35">
      <c r="A7">
        <v>3</v>
      </c>
      <c r="B7">
        <v>11.15</v>
      </c>
      <c r="C7">
        <v>11.5</v>
      </c>
      <c r="D7">
        <f t="shared" si="0"/>
        <v>3</v>
      </c>
      <c r="E7" s="15">
        <f t="shared" si="1"/>
        <v>-0.34999999999999964</v>
      </c>
      <c r="F7" s="15">
        <f t="shared" si="2"/>
        <v>-0.33333333333333331</v>
      </c>
      <c r="H7">
        <f t="shared" si="3"/>
        <v>11.127487684729065</v>
      </c>
      <c r="I7">
        <f t="shared" si="4"/>
        <v>11.127487684729065</v>
      </c>
    </row>
    <row r="8" spans="1:10" x14ac:dyDescent="0.35">
      <c r="A8">
        <v>4</v>
      </c>
      <c r="B8">
        <v>10.7</v>
      </c>
      <c r="C8">
        <v>11</v>
      </c>
      <c r="D8">
        <f t="shared" si="0"/>
        <v>4</v>
      </c>
      <c r="E8" s="15">
        <f t="shared" si="1"/>
        <v>-0.30000000000000071</v>
      </c>
      <c r="F8" s="15">
        <f t="shared" si="2"/>
        <v>-0.33333333333333331</v>
      </c>
      <c r="H8">
        <f t="shared" si="3"/>
        <v>10.684137931034483</v>
      </c>
      <c r="I8">
        <f t="shared" si="4"/>
        <v>10.684137931034483</v>
      </c>
    </row>
    <row r="9" spans="1:10" x14ac:dyDescent="0.35">
      <c r="A9">
        <v>5</v>
      </c>
      <c r="B9">
        <v>11.1</v>
      </c>
      <c r="C9">
        <v>11.45</v>
      </c>
      <c r="D9">
        <f t="shared" si="0"/>
        <v>5</v>
      </c>
      <c r="E9" s="15">
        <f t="shared" si="1"/>
        <v>-0.34999999999999964</v>
      </c>
      <c r="F9" s="15">
        <f t="shared" si="2"/>
        <v>-0.33333333333333331</v>
      </c>
      <c r="H9">
        <f t="shared" si="3"/>
        <v>11.078226600985221</v>
      </c>
      <c r="I9">
        <f t="shared" si="4"/>
        <v>11.078226600985221</v>
      </c>
    </row>
    <row r="10" spans="1:10" x14ac:dyDescent="0.35">
      <c r="A10">
        <v>6</v>
      </c>
      <c r="B10">
        <v>11.6</v>
      </c>
      <c r="C10">
        <v>11.95</v>
      </c>
      <c r="D10">
        <f t="shared" si="0"/>
        <v>6</v>
      </c>
      <c r="E10" s="15">
        <f t="shared" si="1"/>
        <v>-0.34999999999999964</v>
      </c>
      <c r="F10" s="15">
        <f t="shared" si="2"/>
        <v>-0.33333333333333331</v>
      </c>
      <c r="G10" s="15">
        <f>+AVERAGE(E5:E10)</f>
        <v>-0.33333333333333331</v>
      </c>
      <c r="H10">
        <f t="shared" si="3"/>
        <v>11.570837438423645</v>
      </c>
      <c r="I10">
        <f t="shared" si="4"/>
        <v>11.570837438423645</v>
      </c>
    </row>
    <row r="11" spans="1:10" x14ac:dyDescent="0.35">
      <c r="A11">
        <v>7</v>
      </c>
      <c r="B11">
        <v>11.85</v>
      </c>
      <c r="C11">
        <v>12.3</v>
      </c>
      <c r="D11">
        <f t="shared" si="0"/>
        <v>7</v>
      </c>
      <c r="E11" s="15">
        <f t="shared" si="1"/>
        <v>-0.45000000000000107</v>
      </c>
      <c r="F11" s="15">
        <f>+$G$11</f>
        <v>-0.43000000000000044</v>
      </c>
      <c r="G11" s="15">
        <f>+AVERAGE(E11:E15)</f>
        <v>-0.43000000000000044</v>
      </c>
      <c r="H11">
        <f>+(B11+0.1444)/1.015+0.1</f>
        <v>11.917142857142856</v>
      </c>
      <c r="I11">
        <f t="shared" si="4"/>
        <v>11.817142857142857</v>
      </c>
    </row>
    <row r="12" spans="1:10" x14ac:dyDescent="0.35">
      <c r="A12">
        <v>8</v>
      </c>
      <c r="B12">
        <v>11.1</v>
      </c>
      <c r="C12">
        <v>11.55</v>
      </c>
      <c r="D12">
        <f t="shared" si="0"/>
        <v>8</v>
      </c>
      <c r="E12" s="15">
        <f t="shared" si="1"/>
        <v>-0.45000000000000107</v>
      </c>
      <c r="F12" s="15">
        <f t="shared" ref="F12:F15" si="5">+$G$11</f>
        <v>-0.43000000000000044</v>
      </c>
      <c r="H12">
        <f t="shared" ref="H12:H15" si="6">+(B12+0.1444)/1.015+0.1</f>
        <v>11.178226600985221</v>
      </c>
      <c r="I12">
        <f t="shared" si="4"/>
        <v>11.078226600985221</v>
      </c>
    </row>
    <row r="13" spans="1:10" x14ac:dyDescent="0.35">
      <c r="A13">
        <v>9</v>
      </c>
      <c r="B13">
        <v>10.95</v>
      </c>
      <c r="C13">
        <v>11.35</v>
      </c>
      <c r="D13">
        <f t="shared" si="0"/>
        <v>9</v>
      </c>
      <c r="E13" s="15">
        <f t="shared" si="1"/>
        <v>-0.40000000000000036</v>
      </c>
      <c r="F13" s="15">
        <f t="shared" si="5"/>
        <v>-0.43000000000000044</v>
      </c>
      <c r="H13">
        <f t="shared" si="6"/>
        <v>11.030443349753694</v>
      </c>
      <c r="I13">
        <f t="shared" si="4"/>
        <v>10.930443349753695</v>
      </c>
    </row>
    <row r="14" spans="1:10" x14ac:dyDescent="0.35">
      <c r="A14">
        <v>10</v>
      </c>
      <c r="B14">
        <v>10.5</v>
      </c>
      <c r="C14">
        <v>10.9</v>
      </c>
      <c r="D14">
        <f t="shared" si="0"/>
        <v>10</v>
      </c>
      <c r="E14" s="15">
        <f t="shared" si="1"/>
        <v>-0.40000000000000036</v>
      </c>
      <c r="F14" s="15">
        <f t="shared" si="5"/>
        <v>-0.43000000000000044</v>
      </c>
      <c r="H14">
        <f t="shared" si="6"/>
        <v>10.587093596059113</v>
      </c>
      <c r="I14">
        <f t="shared" si="4"/>
        <v>10.487093596059113</v>
      </c>
    </row>
    <row r="15" spans="1:10" x14ac:dyDescent="0.35">
      <c r="A15">
        <v>11</v>
      </c>
      <c r="B15">
        <v>10.9</v>
      </c>
      <c r="C15">
        <v>11.35</v>
      </c>
      <c r="D15">
        <f t="shared" si="0"/>
        <v>11</v>
      </c>
      <c r="E15" s="15">
        <f t="shared" si="1"/>
        <v>-0.44999999999999929</v>
      </c>
      <c r="F15" s="15">
        <f t="shared" si="5"/>
        <v>-0.43000000000000044</v>
      </c>
      <c r="H15">
        <f t="shared" si="6"/>
        <v>10.981182266009853</v>
      </c>
      <c r="I15">
        <f t="shared" si="4"/>
        <v>10.881182266009853</v>
      </c>
    </row>
    <row r="16" spans="1:10" x14ac:dyDescent="0.35">
      <c r="B16">
        <f>+AVERAGE(B5:B15)</f>
        <v>11.109090909090909</v>
      </c>
      <c r="C16">
        <f>+AVERAGE(C5:C15)</f>
        <v>11.486363636363636</v>
      </c>
      <c r="H16" s="25">
        <f>+AVERAGE(H5:H15)</f>
        <v>11.132637707120468</v>
      </c>
      <c r="I16" s="147">
        <f>+AVERAGE(I5:I15)</f>
        <v>11.087183161665921</v>
      </c>
      <c r="J16" s="149">
        <f>+I16-B17</f>
        <v>0</v>
      </c>
    </row>
    <row r="17" spans="1:10" x14ac:dyDescent="0.35">
      <c r="B17" s="148">
        <f>+(B16+0.1444)/1.015</f>
        <v>11.087183161665921</v>
      </c>
      <c r="C17" s="25">
        <f>+(C16+0.2836)/1.05</f>
        <v>11.209489177489177</v>
      </c>
      <c r="D17">
        <f>+C17*1.015-0.1444</f>
        <v>11.233231515151514</v>
      </c>
      <c r="H17" s="25"/>
      <c r="I17" s="25"/>
      <c r="J17" s="149"/>
    </row>
    <row r="18" spans="1:10" x14ac:dyDescent="0.35">
      <c r="A18" t="s">
        <v>766</v>
      </c>
      <c r="D18" t="s">
        <v>764</v>
      </c>
      <c r="E18" t="str">
        <f>+E4</f>
        <v>Non-Logo gauge minus Logo gauge</v>
      </c>
      <c r="F18" t="s">
        <v>767</v>
      </c>
    </row>
    <row r="19" spans="1:10" x14ac:dyDescent="0.35">
      <c r="D19">
        <v>0.5</v>
      </c>
      <c r="F19" s="15">
        <f>+$F$20</f>
        <v>-0.33333333333333331</v>
      </c>
    </row>
    <row r="20" spans="1:10" x14ac:dyDescent="0.35">
      <c r="A20">
        <v>1</v>
      </c>
      <c r="B20">
        <v>12.35</v>
      </c>
      <c r="C20">
        <v>12.7</v>
      </c>
      <c r="D20">
        <v>1</v>
      </c>
      <c r="E20" s="15">
        <f>+B20-C20</f>
        <v>-0.34999999999999964</v>
      </c>
      <c r="F20" s="15">
        <f t="shared" ref="F20" si="7">+AVERAGE($E$5:$E$10)</f>
        <v>-0.33333333333333331</v>
      </c>
    </row>
    <row r="21" spans="1:10" x14ac:dyDescent="0.35">
      <c r="D21">
        <v>1.5</v>
      </c>
      <c r="E21" s="15"/>
      <c r="F21" s="15">
        <f>+$F$20</f>
        <v>-0.33333333333333331</v>
      </c>
    </row>
    <row r="22" spans="1:10" x14ac:dyDescent="0.35">
      <c r="A22">
        <v>2</v>
      </c>
      <c r="B22">
        <v>12.3</v>
      </c>
      <c r="C22">
        <v>12.75</v>
      </c>
      <c r="D22">
        <v>2</v>
      </c>
      <c r="E22" s="15">
        <f>+B22-C22</f>
        <v>-0.44999999999999929</v>
      </c>
      <c r="F22" s="15">
        <f>+F12</f>
        <v>-0.43000000000000044</v>
      </c>
    </row>
    <row r="23" spans="1:10" x14ac:dyDescent="0.35">
      <c r="A23">
        <v>3</v>
      </c>
      <c r="B23">
        <v>12.5</v>
      </c>
      <c r="C23">
        <v>12.95</v>
      </c>
      <c r="D23">
        <v>3</v>
      </c>
      <c r="E23" s="15">
        <f t="shared" ref="E23:E24" si="8">+B23-C23</f>
        <v>-0.44999999999999929</v>
      </c>
      <c r="F23" s="15">
        <f t="shared" ref="F23:F24" si="9">+F13</f>
        <v>-0.43000000000000044</v>
      </c>
    </row>
    <row r="24" spans="1:10" x14ac:dyDescent="0.35">
      <c r="A24">
        <v>4</v>
      </c>
      <c r="B24">
        <v>12.15</v>
      </c>
      <c r="C24">
        <v>12.55</v>
      </c>
      <c r="D24">
        <v>4</v>
      </c>
      <c r="E24" s="15">
        <f t="shared" si="8"/>
        <v>-0.40000000000000036</v>
      </c>
      <c r="F24" s="15">
        <f t="shared" si="9"/>
        <v>-0.43000000000000044</v>
      </c>
    </row>
    <row r="28" spans="1:10" x14ac:dyDescent="0.35">
      <c r="A28" t="s">
        <v>764</v>
      </c>
      <c r="B28" t="s">
        <v>482</v>
      </c>
      <c r="C28" t="s">
        <v>768</v>
      </c>
    </row>
    <row r="29" spans="1:10" x14ac:dyDescent="0.35">
      <c r="A29">
        <v>1</v>
      </c>
      <c r="B29" s="15">
        <v>11.45</v>
      </c>
      <c r="C29" s="15">
        <f>++B30+$F$22-$F$8</f>
        <v>11.253333333333334</v>
      </c>
    </row>
    <row r="30" spans="1:10" x14ac:dyDescent="0.35">
      <c r="A30">
        <v>2</v>
      </c>
      <c r="B30" s="15">
        <v>11.35</v>
      </c>
      <c r="C30" s="15">
        <f>++B30+$F$22-$F$8</f>
        <v>11.253333333333334</v>
      </c>
    </row>
    <row r="42" spans="8:8" x14ac:dyDescent="0.35">
      <c r="H42" t="s">
        <v>769</v>
      </c>
    </row>
    <row r="43" spans="8:8" x14ac:dyDescent="0.35">
      <c r="H43" t="s">
        <v>770</v>
      </c>
    </row>
    <row r="44" spans="8:8" x14ac:dyDescent="0.35">
      <c r="H44" t="s">
        <v>771</v>
      </c>
    </row>
    <row r="45" spans="8:8" x14ac:dyDescent="0.35">
      <c r="H45" t="s">
        <v>772</v>
      </c>
    </row>
    <row r="46" spans="8:8" x14ac:dyDescent="0.35">
      <c r="H46" t="s">
        <v>773</v>
      </c>
    </row>
    <row r="47" spans="8:8" x14ac:dyDescent="0.35">
      <c r="H47" t="s">
        <v>774</v>
      </c>
    </row>
    <row r="48" spans="8:8" x14ac:dyDescent="0.35">
      <c r="H48" t="s">
        <v>775</v>
      </c>
    </row>
    <row r="49" spans="2:8" x14ac:dyDescent="0.35">
      <c r="H49" t="s">
        <v>776</v>
      </c>
    </row>
    <row r="50" spans="2:8" x14ac:dyDescent="0.35">
      <c r="H50" t="s">
        <v>778</v>
      </c>
    </row>
    <row r="51" spans="2:8" x14ac:dyDescent="0.35">
      <c r="H51" t="s">
        <v>779</v>
      </c>
    </row>
    <row r="53" spans="2:8" x14ac:dyDescent="0.35">
      <c r="H53" t="s">
        <v>781</v>
      </c>
    </row>
    <row r="54" spans="2:8" x14ac:dyDescent="0.35">
      <c r="H54" t="s">
        <v>783</v>
      </c>
    </row>
    <row r="55" spans="2:8" x14ac:dyDescent="0.35">
      <c r="H55" t="s">
        <v>784</v>
      </c>
    </row>
    <row r="58" spans="2:8" x14ac:dyDescent="0.35">
      <c r="H58" t="s">
        <v>782</v>
      </c>
    </row>
    <row r="59" spans="2:8" x14ac:dyDescent="0.35">
      <c r="B59" t="s">
        <v>777</v>
      </c>
    </row>
    <row r="60" spans="2:8" x14ac:dyDescent="0.35">
      <c r="B60" t="s">
        <v>780</v>
      </c>
    </row>
    <row r="61" spans="2:8" x14ac:dyDescent="0.35">
      <c r="B61" t="s">
        <v>785</v>
      </c>
    </row>
    <row r="62" spans="2:8" x14ac:dyDescent="0.35">
      <c r="B62" t="s">
        <v>786</v>
      </c>
    </row>
    <row r="63" spans="2:8" x14ac:dyDescent="0.35">
      <c r="B63">
        <v>6</v>
      </c>
    </row>
  </sheetData>
  <pageMargins left="0.7" right="0.7" top="0.75" bottom="0.75" header="0.3" footer="0.3"/>
  <pageSetup orientation="portrait" horizontalDpi="1200" verticalDpi="1200" r:id="rId1"/>
  <headerFooter>
    <oddFooter xml:space="preserve">&amp;L&amp;"arial,Regular"&amp;KBBBBBB
</oddFooter>
    <evenFooter xml:space="preserve">&amp;L&amp;"arial,Regular"&amp;KBBBBBB
</evenFooter>
    <firstFooter xml:space="preserve">&amp;L&amp;"arial,Regular"&amp;KBBBBBB
</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4"/>
  <sheetViews>
    <sheetView topLeftCell="A25" zoomScaleNormal="100" workbookViewId="0">
      <selection activeCell="B3" sqref="B3"/>
    </sheetView>
  </sheetViews>
  <sheetFormatPr defaultRowHeight="14.5" x14ac:dyDescent="0.35"/>
  <cols>
    <col min="1" max="1" width="5.453125" customWidth="1"/>
    <col min="2" max="2" width="28.26953125" customWidth="1"/>
    <col min="3" max="4" width="14" customWidth="1"/>
    <col min="5" max="5" width="24" customWidth="1"/>
    <col min="6" max="6" width="20.81640625" customWidth="1"/>
    <col min="7" max="7" width="13.36328125" customWidth="1"/>
    <col min="9" max="10" width="12.90625" customWidth="1"/>
    <col min="11" max="11" width="12.1796875" customWidth="1"/>
    <col min="12" max="12" width="10.90625" customWidth="1"/>
  </cols>
  <sheetData>
    <row r="1" spans="1:8" x14ac:dyDescent="0.35">
      <c r="B1" t="s">
        <v>1049</v>
      </c>
    </row>
    <row r="2" spans="1:8" x14ac:dyDescent="0.35">
      <c r="B2" t="s">
        <v>1056</v>
      </c>
    </row>
    <row r="3" spans="1:8" x14ac:dyDescent="0.35">
      <c r="A3" s="140" t="s">
        <v>145</v>
      </c>
      <c r="B3" s="21" t="s">
        <v>146</v>
      </c>
      <c r="C3" s="21" t="s">
        <v>147</v>
      </c>
      <c r="D3" s="21" t="s">
        <v>148</v>
      </c>
      <c r="E3" s="21" t="s">
        <v>63</v>
      </c>
    </row>
    <row r="4" spans="1:8" ht="29" x14ac:dyDescent="0.35">
      <c r="A4" s="144" t="e">
        <f>+alph!#REF!</f>
        <v>#REF!</v>
      </c>
      <c r="B4" s="144" t="s">
        <v>262</v>
      </c>
      <c r="C4" s="142">
        <v>13</v>
      </c>
      <c r="D4" s="144" t="s">
        <v>149</v>
      </c>
      <c r="E4" s="144" t="s">
        <v>861</v>
      </c>
      <c r="F4" s="29"/>
      <c r="G4">
        <v>7</v>
      </c>
      <c r="H4">
        <f>+(13+0.2836)/1.05</f>
        <v>12.651047619047619</v>
      </c>
    </row>
    <row r="5" spans="1:8" ht="43.5" x14ac:dyDescent="0.35">
      <c r="A5" s="144" t="e">
        <f>+alph!#REF!</f>
        <v>#REF!</v>
      </c>
      <c r="B5" s="144" t="s">
        <v>864</v>
      </c>
      <c r="C5" s="48">
        <f>+C4*1.015-0.1444</f>
        <v>13.050599999999999</v>
      </c>
      <c r="D5" s="144" t="s">
        <v>149</v>
      </c>
      <c r="E5" s="144" t="s">
        <v>878</v>
      </c>
      <c r="F5" s="143"/>
      <c r="G5">
        <v>18</v>
      </c>
    </row>
    <row r="6" spans="1:8" ht="58" x14ac:dyDescent="0.35">
      <c r="A6" s="138" t="str">
        <f>+alph!A5</f>
        <v>D</v>
      </c>
      <c r="B6" s="139" t="s">
        <v>875</v>
      </c>
      <c r="C6" s="142">
        <f>+(C5+0.1444)/1.015</f>
        <v>13</v>
      </c>
      <c r="D6" s="139"/>
      <c r="E6" s="71" t="s">
        <v>872</v>
      </c>
      <c r="F6" s="137"/>
      <c r="G6">
        <v>11</v>
      </c>
    </row>
    <row r="7" spans="1:8" x14ac:dyDescent="0.35">
      <c r="A7" s="145"/>
      <c r="B7" s="21" t="s">
        <v>857</v>
      </c>
      <c r="C7" s="146">
        <f>+C5-C4</f>
        <v>5.0599999999999312E-2</v>
      </c>
      <c r="D7" s="21"/>
      <c r="E7" s="21"/>
      <c r="G7">
        <v>4</v>
      </c>
    </row>
    <row r="8" spans="1:8" x14ac:dyDescent="0.35">
      <c r="A8" s="145"/>
      <c r="B8" s="21"/>
      <c r="C8" s="21"/>
      <c r="D8" s="21"/>
      <c r="E8" s="21"/>
      <c r="G8">
        <v>1</v>
      </c>
    </row>
    <row r="9" spans="1:8" x14ac:dyDescent="0.35">
      <c r="A9" s="145"/>
      <c r="B9" s="21"/>
      <c r="C9" s="21"/>
      <c r="D9" s="21"/>
      <c r="E9" s="21"/>
      <c r="G9">
        <v>3</v>
      </c>
    </row>
    <row r="10" spans="1:8" ht="38.5" customHeight="1" x14ac:dyDescent="0.35">
      <c r="A10" s="145"/>
      <c r="B10" s="218" t="s">
        <v>1051</v>
      </c>
      <c r="C10" s="225"/>
      <c r="D10" s="225"/>
      <c r="E10" s="226"/>
      <c r="G10">
        <f>+SUM(G4:G9)</f>
        <v>44</v>
      </c>
    </row>
    <row r="11" spans="1:8" x14ac:dyDescent="0.35">
      <c r="A11" s="145" t="str">
        <f>+A3</f>
        <v>Row</v>
      </c>
      <c r="B11" s="145" t="str">
        <f>+B3</f>
        <v>Item</v>
      </c>
      <c r="C11" s="145" t="str">
        <f>+C3</f>
        <v>Value</v>
      </c>
      <c r="D11" s="145" t="str">
        <f>+D3</f>
        <v>Units</v>
      </c>
      <c r="E11" s="145" t="str">
        <f>+E3</f>
        <v>Source</v>
      </c>
    </row>
    <row r="12" spans="1:8" ht="58" x14ac:dyDescent="0.35">
      <c r="A12" s="138" t="str">
        <f>+alph!A2</f>
        <v>A</v>
      </c>
      <c r="B12" s="138" t="s">
        <v>1050</v>
      </c>
      <c r="C12" s="138">
        <v>11.75</v>
      </c>
      <c r="D12" s="138" t="s">
        <v>149</v>
      </c>
      <c r="E12" s="138" t="s">
        <v>866</v>
      </c>
      <c r="F12" s="110"/>
    </row>
    <row r="13" spans="1:8" ht="29" x14ac:dyDescent="0.35">
      <c r="A13" s="138" t="str">
        <f>+alph!A3</f>
        <v>B</v>
      </c>
      <c r="B13" s="139" t="s">
        <v>262</v>
      </c>
      <c r="C13" s="142">
        <f>+(C12+0.2836)/1.05</f>
        <v>11.460571428571427</v>
      </c>
      <c r="D13" s="139" t="s">
        <v>149</v>
      </c>
      <c r="E13" s="139" t="s">
        <v>861</v>
      </c>
      <c r="F13" s="29">
        <f>+C12-C14</f>
        <v>0.26192000000000171</v>
      </c>
    </row>
    <row r="14" spans="1:8" ht="43.5" x14ac:dyDescent="0.35">
      <c r="A14" s="138" t="str">
        <f>+alph!A4</f>
        <v>C</v>
      </c>
      <c r="B14" s="139" t="s">
        <v>864</v>
      </c>
      <c r="C14" s="48">
        <f>+C13*1.015-0.1444</f>
        <v>11.488079999999998</v>
      </c>
      <c r="D14" s="139" t="s">
        <v>149</v>
      </c>
      <c r="E14" s="139" t="s">
        <v>878</v>
      </c>
      <c r="F14" s="110"/>
    </row>
    <row r="15" spans="1:8" x14ac:dyDescent="0.35">
      <c r="A15" s="138" t="str">
        <f>+alph!A6</f>
        <v>E</v>
      </c>
      <c r="B15" s="214" t="s">
        <v>873</v>
      </c>
      <c r="C15" s="214"/>
      <c r="D15" s="214"/>
      <c r="E15" s="214"/>
      <c r="F15" s="137"/>
    </row>
    <row r="16" spans="1:8" x14ac:dyDescent="0.35">
      <c r="A16" s="138" t="str">
        <f>+alph!A7</f>
        <v>F</v>
      </c>
      <c r="B16" s="139" t="s">
        <v>857</v>
      </c>
      <c r="C16" s="48">
        <f>+C14-C13</f>
        <v>2.7508571428571216E-2</v>
      </c>
      <c r="D16" s="139" t="s">
        <v>149</v>
      </c>
      <c r="E16" s="139" t="str">
        <f>+TEXT(A14,0)&amp;"-"&amp;TEXT(A13,0)</f>
        <v>C-B</v>
      </c>
      <c r="F16" s="137"/>
    </row>
    <row r="17" spans="1:6" x14ac:dyDescent="0.35">
      <c r="A17" s="138" t="str">
        <f>+alph!A8</f>
        <v>G</v>
      </c>
      <c r="B17" s="139" t="s">
        <v>855</v>
      </c>
      <c r="C17" s="48">
        <f>+C12-C14</f>
        <v>0.26192000000000171</v>
      </c>
      <c r="D17" s="139" t="s">
        <v>149</v>
      </c>
      <c r="E17" s="139" t="str">
        <f>+TEXT(A12,0)&amp;"-"&amp;TEXT(A14,0)</f>
        <v>A-C</v>
      </c>
      <c r="F17" s="137"/>
    </row>
    <row r="18" spans="1:6" ht="130.5" x14ac:dyDescent="0.35">
      <c r="A18" s="138" t="str">
        <f>+alph!A9</f>
        <v>H</v>
      </c>
      <c r="B18" s="139" t="s">
        <v>852</v>
      </c>
      <c r="C18" s="48">
        <f>+('each ball vs theory'!J90-'each ball vs theory'!J89)/('each ball vs theory'!I90-'each ball vs theory'!I89)</f>
        <v>5.2744043686497107E-2</v>
      </c>
      <c r="D18" s="139" t="s">
        <v>853</v>
      </c>
      <c r="E18" s="139" t="s">
        <v>874</v>
      </c>
      <c r="F18" s="110"/>
    </row>
    <row r="19" spans="1:6" ht="29" x14ac:dyDescent="0.35">
      <c r="A19" s="138" t="str">
        <f>+alph!A10</f>
        <v>I</v>
      </c>
      <c r="B19" s="138" t="s">
        <v>863</v>
      </c>
      <c r="C19" s="138">
        <v>11.35</v>
      </c>
      <c r="D19" s="138" t="s">
        <v>149</v>
      </c>
      <c r="E19" s="138" t="s">
        <v>865</v>
      </c>
      <c r="F19" s="110"/>
    </row>
    <row r="20" spans="1:6" ht="77.5" customHeight="1" x14ac:dyDescent="0.35">
      <c r="A20" s="138" t="str">
        <f>+alph!A11</f>
        <v>J</v>
      </c>
      <c r="B20" s="138" t="s">
        <v>869</v>
      </c>
      <c r="C20" s="48">
        <f>+(C14-C19)/C18</f>
        <v>2.6179259372058388</v>
      </c>
      <c r="D20" s="138" t="s">
        <v>117</v>
      </c>
      <c r="E20" s="138" t="str">
        <f>+"("&amp;TEXT(A14,0)&amp;"-"&amp;TEXT(A19,0)&amp;")/"&amp;TEXT(A18,0)</f>
        <v>(C-I)/H</v>
      </c>
      <c r="F20" s="110"/>
    </row>
    <row r="21" spans="1:6" x14ac:dyDescent="0.35">
      <c r="A21" s="138" t="str">
        <f>+alph!A12</f>
        <v>K</v>
      </c>
      <c r="B21" s="138" t="s">
        <v>868</v>
      </c>
      <c r="C21" s="62">
        <f>+C20*60</f>
        <v>157.07555623235032</v>
      </c>
      <c r="D21" s="138" t="s">
        <v>867</v>
      </c>
      <c r="E21" s="138" t="s">
        <v>870</v>
      </c>
      <c r="F21" s="137"/>
    </row>
    <row r="22" spans="1:6" ht="37.5" customHeight="1" x14ac:dyDescent="0.35">
      <c r="A22" s="138" t="str">
        <f>+alph!A13</f>
        <v>L</v>
      </c>
      <c r="B22" s="214" t="s">
        <v>871</v>
      </c>
      <c r="C22" s="214"/>
      <c r="D22" s="214"/>
      <c r="E22" s="214"/>
      <c r="F22" s="110"/>
    </row>
    <row r="23" spans="1:6" ht="29" x14ac:dyDescent="0.35">
      <c r="A23" s="138" t="str">
        <f>+alph!A14</f>
        <v>M</v>
      </c>
      <c r="B23" s="138" t="s">
        <v>862</v>
      </c>
      <c r="C23" s="138">
        <v>11.45</v>
      </c>
      <c r="D23" s="138"/>
      <c r="E23" s="138" t="s">
        <v>865</v>
      </c>
      <c r="F23" s="110"/>
    </row>
    <row r="24" spans="1:6" ht="43.5" x14ac:dyDescent="0.35">
      <c r="A24" s="138" t="str">
        <f>+alph!A15</f>
        <v>N</v>
      </c>
      <c r="B24" s="138" t="s">
        <v>854</v>
      </c>
      <c r="C24" s="48">
        <f>+(C14-C23)/C18</f>
        <v>0.7219772573058858</v>
      </c>
      <c r="D24" s="138" t="s">
        <v>117</v>
      </c>
      <c r="E24" s="138" t="str">
        <f>+"("&amp;TEXT(A14,0)&amp;"-"&amp;TEXT(A23,0)&amp;")/"&amp;TEXT(A18,0)</f>
        <v>(C-M)/H</v>
      </c>
      <c r="F24" s="29"/>
    </row>
    <row r="25" spans="1:6" x14ac:dyDescent="0.35">
      <c r="A25" s="138" t="str">
        <f>+alph!A16</f>
        <v>O</v>
      </c>
      <c r="B25" s="135" t="s">
        <v>868</v>
      </c>
      <c r="C25" s="141">
        <f>+C24*60</f>
        <v>43.318635438353148</v>
      </c>
      <c r="D25" s="136" t="s">
        <v>867</v>
      </c>
      <c r="E25" s="138" t="s">
        <v>870</v>
      </c>
      <c r="F25" s="29"/>
    </row>
    <row r="26" spans="1:6" ht="107.5" customHeight="1" x14ac:dyDescent="0.35">
      <c r="A26" s="138" t="str">
        <f>+alph!A17</f>
        <v>P</v>
      </c>
      <c r="B26" s="222" t="s">
        <v>876</v>
      </c>
      <c r="C26" s="223"/>
      <c r="D26" s="223"/>
      <c r="E26" s="206"/>
      <c r="F26" s="137"/>
    </row>
    <row r="27" spans="1:6" x14ac:dyDescent="0.35">
      <c r="A27" s="139" t="str">
        <f>+alph!A18</f>
        <v>Q</v>
      </c>
      <c r="B27" s="71" t="s">
        <v>877</v>
      </c>
      <c r="C27" s="65">
        <f>+AVERAGE(C20,C24)</f>
        <v>1.6699515972558623</v>
      </c>
      <c r="D27" s="2" t="s">
        <v>117</v>
      </c>
      <c r="E27" s="139" t="str">
        <f>+"Average of "&amp;TEXT(A20,0)&amp;" and "&amp;TEXT(A24,0)</f>
        <v>Average of J and N</v>
      </c>
    </row>
    <row r="28" spans="1:6" x14ac:dyDescent="0.35">
      <c r="A28" s="139" t="str">
        <f>+alph!A19</f>
        <v>R</v>
      </c>
      <c r="B28" s="71" t="s">
        <v>877</v>
      </c>
      <c r="C28" s="66">
        <f>+C27*60</f>
        <v>100.19709583535173</v>
      </c>
      <c r="D28" s="2" t="s">
        <v>867</v>
      </c>
      <c r="E28" s="139" t="s">
        <v>870</v>
      </c>
    </row>
    <row r="46" spans="1:12" x14ac:dyDescent="0.35">
      <c r="A46" s="84" t="s">
        <v>145</v>
      </c>
      <c r="B46" s="86" t="s">
        <v>146</v>
      </c>
      <c r="C46" s="86" t="s">
        <v>106</v>
      </c>
      <c r="D46" s="86" t="s">
        <v>102</v>
      </c>
      <c r="E46" s="86" t="s">
        <v>734</v>
      </c>
      <c r="F46" s="86" t="s">
        <v>63</v>
      </c>
      <c r="G46" s="119" t="s">
        <v>791</v>
      </c>
    </row>
    <row r="47" spans="1:12" ht="101.5" x14ac:dyDescent="0.35">
      <c r="A47" s="84" t="str">
        <f>+alph!C2</f>
        <v>Ref_A</v>
      </c>
      <c r="B47" s="84" t="s">
        <v>729</v>
      </c>
      <c r="C47" s="84">
        <v>11.75</v>
      </c>
      <c r="D47" s="84">
        <f>+C47</f>
        <v>11.75</v>
      </c>
      <c r="E47" s="84" t="s">
        <v>149</v>
      </c>
      <c r="F47" s="84" t="s">
        <v>730</v>
      </c>
      <c r="G47" s="84" t="s">
        <v>486</v>
      </c>
      <c r="H47" s="125" t="s">
        <v>794</v>
      </c>
      <c r="I47" s="125" t="s">
        <v>795</v>
      </c>
      <c r="J47" s="125" t="s">
        <v>793</v>
      </c>
      <c r="K47" s="125" t="s">
        <v>796</v>
      </c>
      <c r="L47" s="125" t="s">
        <v>792</v>
      </c>
    </row>
    <row r="48" spans="1:12" ht="58" x14ac:dyDescent="0.35">
      <c r="A48" s="138" t="str">
        <f>+alph!C3</f>
        <v>Ref_B</v>
      </c>
      <c r="B48" s="84" t="s">
        <v>483</v>
      </c>
      <c r="C48" s="47">
        <f>+(C47+0.2836)/1.05</f>
        <v>11.460571428571427</v>
      </c>
      <c r="D48" s="47">
        <f>+C48</f>
        <v>11.460571428571427</v>
      </c>
      <c r="E48" s="84" t="s">
        <v>149</v>
      </c>
      <c r="F48" s="84" t="s">
        <v>732</v>
      </c>
      <c r="G48" s="2">
        <v>0</v>
      </c>
      <c r="H48" s="2">
        <v>11</v>
      </c>
      <c r="I48" s="2"/>
      <c r="J48" s="2"/>
      <c r="K48" s="2"/>
      <c r="L48" s="2"/>
    </row>
    <row r="49" spans="1:12" ht="58" x14ac:dyDescent="0.35">
      <c r="A49" s="138" t="str">
        <f>+alph!C4</f>
        <v>Ref_C</v>
      </c>
      <c r="B49" s="84" t="s">
        <v>231</v>
      </c>
      <c r="C49" s="84">
        <f>+tline!B29</f>
        <v>8</v>
      </c>
      <c r="D49" s="84">
        <f>+C49</f>
        <v>8</v>
      </c>
      <c r="E49" s="84" t="s">
        <v>117</v>
      </c>
      <c r="F49" s="84" t="s">
        <v>731</v>
      </c>
      <c r="G49" s="2">
        <v>0.01</v>
      </c>
      <c r="H49" s="2">
        <v>11.1</v>
      </c>
      <c r="I49" s="2"/>
      <c r="J49" s="2"/>
      <c r="K49" s="2"/>
      <c r="L49" s="2"/>
    </row>
    <row r="50" spans="1:12" ht="43.5" x14ac:dyDescent="0.35">
      <c r="A50" s="138" t="str">
        <f>+alph!C5</f>
        <v>Ref_D</v>
      </c>
      <c r="B50" s="84" t="s">
        <v>725</v>
      </c>
      <c r="C50" s="84">
        <f>+VLOOKUP(C$49,TcrvPD,1)</f>
        <v>6</v>
      </c>
      <c r="D50" s="84">
        <f>+VLOOKUP(D$49,TCrv,1)</f>
        <v>6</v>
      </c>
      <c r="E50" s="84" t="s">
        <v>117</v>
      </c>
      <c r="F50" s="84" t="s">
        <v>733</v>
      </c>
      <c r="G50" s="2">
        <v>0</v>
      </c>
      <c r="H50" s="2"/>
      <c r="I50" s="2">
        <v>11.05</v>
      </c>
      <c r="J50" s="2"/>
      <c r="K50" s="2"/>
      <c r="L50" s="2"/>
    </row>
    <row r="51" spans="1:12" ht="29" x14ac:dyDescent="0.35">
      <c r="A51" s="138" t="str">
        <f>+alph!C6</f>
        <v>Ref_E</v>
      </c>
      <c r="B51" s="84" t="s">
        <v>728</v>
      </c>
      <c r="C51" s="84">
        <f>+C49-C50</f>
        <v>2</v>
      </c>
      <c r="D51" s="84">
        <f>+D49-D50</f>
        <v>2</v>
      </c>
      <c r="E51" s="84" t="s">
        <v>117</v>
      </c>
      <c r="F51" s="84" t="str">
        <f>+TEXT(A49,0)&amp;"-"&amp;TEXT(A50,0)</f>
        <v>Ref_C-Ref_D</v>
      </c>
      <c r="G51" s="120">
        <f>+provRef!$C$49</f>
        <v>8</v>
      </c>
      <c r="H51" s="2"/>
      <c r="I51" s="65">
        <f>+I$50+E81</f>
        <v>11.841805910715053</v>
      </c>
      <c r="J51" s="2"/>
      <c r="K51" s="2"/>
      <c r="L51" s="2"/>
    </row>
    <row r="52" spans="1:12" ht="43.5" x14ac:dyDescent="0.35">
      <c r="A52" s="138" t="str">
        <f>+alph!C7</f>
        <v>Ref_F</v>
      </c>
      <c r="B52" s="84" t="s">
        <v>726</v>
      </c>
      <c r="C52" s="19">
        <f>+VLOOKUP(C$49,TcrvPD,2)</f>
        <v>0.60209499390262933</v>
      </c>
      <c r="D52" s="19">
        <f>+VLOOKUP(D$49,TCrv,2)</f>
        <v>0.47612488834643535</v>
      </c>
      <c r="E52" s="84" t="s">
        <v>150</v>
      </c>
      <c r="F52" s="84" t="s">
        <v>733</v>
      </c>
      <c r="G52" s="120">
        <f>+G51</f>
        <v>8</v>
      </c>
      <c r="H52" s="2"/>
      <c r="I52" s="65"/>
      <c r="J52" s="2">
        <v>11.75</v>
      </c>
      <c r="K52" s="2"/>
      <c r="L52" s="2"/>
    </row>
    <row r="53" spans="1:12" ht="43.5" x14ac:dyDescent="0.35">
      <c r="A53" s="138" t="str">
        <f>+alph!C8</f>
        <v>Ref_G</v>
      </c>
      <c r="B53" s="84" t="s">
        <v>727</v>
      </c>
      <c r="C53" s="19">
        <f>+VLOOKUP(C$49,TcrvPD,3)</f>
        <v>4.6314999530971367E-2</v>
      </c>
      <c r="D53" s="19">
        <f>+VLOOKUP(D$49,TCrv,3)</f>
        <v>3.8474738452237235E-2</v>
      </c>
      <c r="E53" s="84" t="s">
        <v>150</v>
      </c>
      <c r="F53" s="84" t="s">
        <v>733</v>
      </c>
      <c r="G53" s="120">
        <f>+provRef!$C$49</f>
        <v>8</v>
      </c>
      <c r="H53" s="2"/>
      <c r="I53" s="2"/>
      <c r="J53" s="2"/>
      <c r="K53" s="2">
        <v>11.4</v>
      </c>
      <c r="L53" s="2"/>
    </row>
    <row r="54" spans="1:12" ht="29" x14ac:dyDescent="0.35">
      <c r="A54" s="138" t="str">
        <f>+alph!C9</f>
        <v>Ref_H</v>
      </c>
      <c r="B54" s="84" t="s">
        <v>484</v>
      </c>
      <c r="C54" s="45">
        <f>+C52+C51*C53</f>
        <v>0.69472499296457202</v>
      </c>
      <c r="D54" s="45">
        <f>+D52+D51*D53</f>
        <v>0.55307436525090981</v>
      </c>
      <c r="E54" s="84" t="s">
        <v>150</v>
      </c>
      <c r="F54" s="84" t="str">
        <f>+TEXT(A52,0)&amp;"+"&amp;TEXT(A51,0)&amp;"*"&amp;TEXT(A53,0)</f>
        <v>Ref_F+Ref_E*Ref_G</v>
      </c>
      <c r="G54" s="2">
        <v>0</v>
      </c>
      <c r="H54" s="2"/>
      <c r="I54" s="2"/>
      <c r="J54" s="2"/>
      <c r="K54" s="65">
        <f>+K53-C56+(4.5)*0.01</f>
        <v>10.470419424102692</v>
      </c>
      <c r="L54" s="2"/>
    </row>
    <row r="55" spans="1:12" ht="87" x14ac:dyDescent="0.35">
      <c r="A55" s="138" t="str">
        <f>+alph!C10</f>
        <v>Ref_I</v>
      </c>
      <c r="B55" s="84" t="s">
        <v>485</v>
      </c>
      <c r="C55" s="48">
        <f>+main!C147</f>
        <v>1.4028293004668204</v>
      </c>
      <c r="D55" s="48">
        <f>+main!D147</f>
        <v>1.363471017148951</v>
      </c>
      <c r="E55" s="84" t="s">
        <v>149</v>
      </c>
      <c r="F55" s="84" t="s">
        <v>739</v>
      </c>
      <c r="G55" s="120">
        <f>+G53</f>
        <v>8</v>
      </c>
      <c r="H55" s="2"/>
      <c r="I55" s="2"/>
      <c r="J55" s="2"/>
      <c r="K55" s="2"/>
      <c r="L55" s="2">
        <v>11.4</v>
      </c>
    </row>
    <row r="56" spans="1:12" x14ac:dyDescent="0.35">
      <c r="A56" s="138" t="str">
        <f>+alph!C11</f>
        <v>Ref_J</v>
      </c>
      <c r="B56" s="84" t="s">
        <v>735</v>
      </c>
      <c r="C56" s="48">
        <f>+C55*C54</f>
        <v>0.97458057589730729</v>
      </c>
      <c r="D56" s="48">
        <f>+D55*D54</f>
        <v>0.75410086734766846</v>
      </c>
      <c r="E56" s="84" t="s">
        <v>149</v>
      </c>
      <c r="F56" s="84" t="str">
        <f>+TEXT(A54,0)&amp;"*"&amp;TEXT(A55,0)</f>
        <v>Ref_H*Ref_I</v>
      </c>
      <c r="G56" s="2">
        <v>0</v>
      </c>
      <c r="H56" s="2"/>
      <c r="I56" s="2"/>
      <c r="J56" s="2"/>
      <c r="K56" s="2"/>
      <c r="L56" s="65">
        <f>+L55-D56+(4.5)*0.01</f>
        <v>10.690899132652332</v>
      </c>
    </row>
    <row r="57" spans="1:12" ht="72.5" x14ac:dyDescent="0.35">
      <c r="A57" s="138" t="str">
        <f>+alph!C12</f>
        <v>Ref_K</v>
      </c>
      <c r="B57" s="84" t="s">
        <v>736</v>
      </c>
      <c r="C57" s="48">
        <v>0.01</v>
      </c>
      <c r="D57" s="48">
        <f>+C57</f>
        <v>0.01</v>
      </c>
      <c r="E57" s="84" t="s">
        <v>149</v>
      </c>
      <c r="F57" s="84" t="s">
        <v>738</v>
      </c>
    </row>
    <row r="58" spans="1:12" ht="87" x14ac:dyDescent="0.35">
      <c r="A58" s="138" t="str">
        <f>+alph!C13</f>
        <v>Ref_L</v>
      </c>
      <c r="B58" s="84" t="s">
        <v>737</v>
      </c>
      <c r="C58" s="101">
        <v>6</v>
      </c>
      <c r="D58" s="101">
        <v>4</v>
      </c>
      <c r="E58" s="84" t="s">
        <v>271</v>
      </c>
      <c r="F58" s="84" t="s">
        <v>742</v>
      </c>
    </row>
    <row r="59" spans="1:12" ht="29" x14ac:dyDescent="0.35">
      <c r="A59" s="138" t="str">
        <f>+alph!C14</f>
        <v>Ref_M</v>
      </c>
      <c r="B59" s="84" t="s">
        <v>741</v>
      </c>
      <c r="C59" s="48">
        <f>+C58*C57</f>
        <v>0.06</v>
      </c>
      <c r="D59" s="48">
        <f>+D58*D57</f>
        <v>0.04</v>
      </c>
      <c r="E59" s="84" t="s">
        <v>149</v>
      </c>
      <c r="F59" s="84" t="str">
        <f>+TEXT(A57,0)&amp;"*"&amp;TEXT(A58,0)</f>
        <v>Ref_K*Ref_L</v>
      </c>
    </row>
    <row r="60" spans="1:12" ht="29" x14ac:dyDescent="0.35">
      <c r="A60" s="138" t="str">
        <f>+alph!C15</f>
        <v>Ref_N</v>
      </c>
      <c r="B60" s="84" t="s">
        <v>740</v>
      </c>
      <c r="C60" s="48">
        <f>+C48-C56+C59</f>
        <v>10.54599085267412</v>
      </c>
      <c r="D60" s="48">
        <f>+D48-D56+D59</f>
        <v>10.746470561223758</v>
      </c>
      <c r="E60" s="84" t="s">
        <v>149</v>
      </c>
      <c r="F60" s="84" t="str">
        <f>+TEXT(A48,0)&amp;"-"&amp;TEXT(A56,0)&amp;"+"&amp;TEXT(A59,0)</f>
        <v>Ref_B-Ref_J+Ref_M</v>
      </c>
    </row>
    <row r="61" spans="1:12" ht="87" x14ac:dyDescent="0.35">
      <c r="A61" s="138" t="str">
        <f>+alph!C16</f>
        <v>Ref_O</v>
      </c>
      <c r="B61" s="84" t="s">
        <v>746</v>
      </c>
      <c r="C61" s="47">
        <f>+C60*1.05-0.2836</f>
        <v>10.789690395307826</v>
      </c>
      <c r="D61" s="47">
        <f>+D60*1.05-0.2836</f>
        <v>11.000194089284946</v>
      </c>
      <c r="E61" s="84" t="s">
        <v>149</v>
      </c>
      <c r="F61" s="84" t="s">
        <v>743</v>
      </c>
    </row>
    <row r="62" spans="1:12" ht="58" x14ac:dyDescent="0.35">
      <c r="A62" s="138" t="str">
        <f>+alph!C17</f>
        <v>Ref_P</v>
      </c>
      <c r="B62" s="84" t="s">
        <v>262</v>
      </c>
      <c r="C62" s="47">
        <f>+(C61+0.2836)/1.05</f>
        <v>10.54599085267412</v>
      </c>
      <c r="D62" s="47">
        <f>+(D61+0.2836)/1.05</f>
        <v>10.746470561223758</v>
      </c>
      <c r="E62" s="84" t="s">
        <v>149</v>
      </c>
      <c r="F62" s="84" t="s">
        <v>744</v>
      </c>
    </row>
    <row r="63" spans="1:12" ht="43.5" x14ac:dyDescent="0.35">
      <c r="A63" s="138" t="str">
        <f>+alph!C18</f>
        <v>Ref_Q</v>
      </c>
      <c r="B63" s="84" t="s">
        <v>745</v>
      </c>
      <c r="C63" s="84">
        <v>11</v>
      </c>
      <c r="D63" s="84">
        <v>11</v>
      </c>
      <c r="E63" s="84" t="s">
        <v>149</v>
      </c>
      <c r="F63" s="84" t="s">
        <v>750</v>
      </c>
    </row>
    <row r="64" spans="1:12" ht="73.5" customHeight="1" x14ac:dyDescent="0.35">
      <c r="A64" s="138" t="str">
        <f>+alph!C19</f>
        <v>Ref_R</v>
      </c>
      <c r="B64" s="222" t="s">
        <v>749</v>
      </c>
      <c r="C64" s="223"/>
      <c r="D64" s="223"/>
      <c r="E64" s="223"/>
      <c r="F64" s="206"/>
    </row>
    <row r="65" spans="1:6" x14ac:dyDescent="0.35">
      <c r="A65" s="138" t="str">
        <f>+alph!C20</f>
        <v>Ref_S</v>
      </c>
      <c r="B65" s="214" t="s">
        <v>747</v>
      </c>
      <c r="C65" s="214"/>
      <c r="D65" s="214"/>
      <c r="E65" s="214"/>
      <c r="F65" s="214"/>
    </row>
    <row r="66" spans="1:6" ht="43.5" customHeight="1" x14ac:dyDescent="0.35">
      <c r="A66" s="138" t="str">
        <f>+alph!C21</f>
        <v>Ref_T</v>
      </c>
      <c r="B66" s="214" t="s">
        <v>748</v>
      </c>
      <c r="C66" s="214"/>
      <c r="D66" s="214"/>
      <c r="E66" s="214"/>
      <c r="F66" s="214"/>
    </row>
    <row r="67" spans="1:6" ht="87" x14ac:dyDescent="0.35">
      <c r="A67" s="138" t="str">
        <f>+alph!C22</f>
        <v>Ref_U</v>
      </c>
      <c r="B67" s="84" t="s">
        <v>751</v>
      </c>
      <c r="C67" s="84"/>
      <c r="D67" s="47">
        <f>+D62*1.015-0.1444</f>
        <v>10.763267619642114</v>
      </c>
      <c r="E67" s="84" t="s">
        <v>149</v>
      </c>
      <c r="F67" s="84" t="s">
        <v>752</v>
      </c>
    </row>
    <row r="68" spans="1:6" ht="72.5" x14ac:dyDescent="0.35">
      <c r="A68" s="138" t="str">
        <f>+alph!C23</f>
        <v>Ref_V</v>
      </c>
      <c r="B68" s="84" t="s">
        <v>753</v>
      </c>
      <c r="C68" s="84"/>
      <c r="D68" s="48">
        <f>+D61-D67</f>
        <v>0.23692646964283171</v>
      </c>
      <c r="E68" s="84" t="s">
        <v>149</v>
      </c>
      <c r="F68" s="84" t="str">
        <f>+TEXT(A61,0)&amp;"-"&amp;TEXT(A67,0)</f>
        <v>Ref_O-Ref_U</v>
      </c>
    </row>
    <row r="69" spans="1:6" ht="52.5" customHeight="1" x14ac:dyDescent="0.35">
      <c r="A69" s="138" t="str">
        <f>+alph!C24</f>
        <v>Ref_W</v>
      </c>
      <c r="B69" s="214" t="s">
        <v>754</v>
      </c>
      <c r="C69" s="214"/>
      <c r="D69" s="214"/>
      <c r="E69" s="214"/>
      <c r="F69" s="214"/>
    </row>
    <row r="70" spans="1:6" ht="88.5" customHeight="1" x14ac:dyDescent="0.35">
      <c r="A70" s="138" t="str">
        <f>+alph!C25</f>
        <v>Ref_X</v>
      </c>
      <c r="B70" s="84" t="s">
        <v>1052</v>
      </c>
      <c r="C70" s="84"/>
      <c r="D70" s="84">
        <v>0.03</v>
      </c>
      <c r="E70" s="84"/>
      <c r="F70" s="84" t="s">
        <v>755</v>
      </c>
    </row>
    <row r="71" spans="1:6" ht="62.5" customHeight="1" x14ac:dyDescent="0.35">
      <c r="A71" s="138" t="str">
        <f>+alph!C26</f>
        <v>Ref_Y</v>
      </c>
      <c r="B71" s="84" t="s">
        <v>756</v>
      </c>
      <c r="C71" s="84"/>
      <c r="D71" s="114">
        <f>+D68/D70</f>
        <v>7.8975489880943908</v>
      </c>
      <c r="E71" s="84"/>
      <c r="F71" s="84" t="str">
        <f>+TEXT(A68,0)&amp;"/"&amp;TEXT(A70,0)</f>
        <v>Ref_V/Ref_X</v>
      </c>
    </row>
    <row r="72" spans="1:6" ht="93" customHeight="1" x14ac:dyDescent="0.35">
      <c r="A72" s="138" t="str">
        <f>+alph!C27</f>
        <v>Ref_Z</v>
      </c>
      <c r="B72" s="84" t="s">
        <v>757</v>
      </c>
      <c r="C72" s="84"/>
      <c r="D72" s="116">
        <v>0</v>
      </c>
      <c r="E72" s="84" t="s">
        <v>1054</v>
      </c>
      <c r="F72" s="46" t="s">
        <v>1053</v>
      </c>
    </row>
    <row r="73" spans="1:6" ht="29" x14ac:dyDescent="0.35">
      <c r="A73" s="138" t="str">
        <f>+alph!C28</f>
        <v>Ref_AA</v>
      </c>
      <c r="B73" s="84" t="s">
        <v>758</v>
      </c>
      <c r="C73" s="84"/>
      <c r="D73" s="45">
        <v>0</v>
      </c>
      <c r="E73" s="84"/>
      <c r="F73" s="84"/>
    </row>
    <row r="74" spans="1:6" ht="58" x14ac:dyDescent="0.35">
      <c r="A74" s="138" t="str">
        <f>+alph!C29</f>
        <v>Ref_AB</v>
      </c>
      <c r="B74" s="84" t="s">
        <v>759</v>
      </c>
      <c r="C74" s="84"/>
      <c r="D74" s="117">
        <f>+D72*D73</f>
        <v>0</v>
      </c>
      <c r="E74" s="84"/>
      <c r="F74" s="84"/>
    </row>
    <row r="75" spans="1:6" ht="58" x14ac:dyDescent="0.35">
      <c r="A75" s="138" t="str">
        <f>+alph!C30</f>
        <v>Ref_AC</v>
      </c>
      <c r="B75" s="84" t="s">
        <v>760</v>
      </c>
      <c r="C75" s="84"/>
      <c r="D75" s="118" t="e">
        <f>1/D74</f>
        <v>#DIV/0!</v>
      </c>
      <c r="E75" s="84" t="s">
        <v>1055</v>
      </c>
      <c r="F75" s="84"/>
    </row>
    <row r="76" spans="1:6" ht="77.5" customHeight="1" x14ac:dyDescent="0.35">
      <c r="A76" s="138" t="str">
        <f>+alph!C31</f>
        <v>Ref_AD</v>
      </c>
      <c r="B76" s="214"/>
      <c r="C76" s="214"/>
      <c r="D76" s="214"/>
      <c r="E76" s="214"/>
      <c r="F76" s="214"/>
    </row>
    <row r="77" spans="1:6" ht="29" x14ac:dyDescent="0.35">
      <c r="A77" s="138" t="str">
        <f>+alph!C38</f>
        <v>Ref_AK</v>
      </c>
      <c r="B77" s="16" t="s">
        <v>790</v>
      </c>
      <c r="C77" s="16"/>
      <c r="D77" s="16"/>
      <c r="E77" s="16"/>
      <c r="F77" s="7"/>
    </row>
    <row r="78" spans="1:6" ht="87" x14ac:dyDescent="0.35">
      <c r="A78" s="138" t="str">
        <f>+alph!C39</f>
        <v>Ref_AL</v>
      </c>
      <c r="B78" s="86" t="s">
        <v>788</v>
      </c>
      <c r="C78" s="86" t="s">
        <v>798</v>
      </c>
      <c r="D78" s="86" t="s">
        <v>799</v>
      </c>
      <c r="E78" s="86" t="s">
        <v>797</v>
      </c>
      <c r="F78" s="78"/>
    </row>
    <row r="79" spans="1:6" ht="29" x14ac:dyDescent="0.35">
      <c r="A79" s="138" t="str">
        <f>+alph!C40</f>
        <v>Ref_AM</v>
      </c>
      <c r="B79" s="84" t="s">
        <v>810</v>
      </c>
      <c r="C79" s="2">
        <v>0</v>
      </c>
      <c r="D79" s="65">
        <f>+'each ball vs theory'!J8</f>
        <v>11.004351686369816</v>
      </c>
      <c r="E79" s="84">
        <v>0</v>
      </c>
      <c r="F79" s="78"/>
    </row>
    <row r="80" spans="1:6" ht="43.5" x14ac:dyDescent="0.35">
      <c r="A80" s="138" t="str">
        <f>+alph!C41</f>
        <v>Ref_AN</v>
      </c>
      <c r="B80" s="84" t="s">
        <v>800</v>
      </c>
      <c r="C80" s="120">
        <f>+tline!B27</f>
        <v>4</v>
      </c>
      <c r="D80" s="65">
        <f>+'each ball vs theory'!J9</f>
        <v>11.500091039165328</v>
      </c>
      <c r="E80" s="48">
        <f>+D80-D$79</f>
        <v>0.49573935279551229</v>
      </c>
      <c r="F80" s="78"/>
    </row>
    <row r="81" spans="1:24" ht="29" x14ac:dyDescent="0.35">
      <c r="A81" s="138" t="str">
        <f>+alph!C42</f>
        <v>Ref_AO</v>
      </c>
      <c r="B81" s="84" t="s">
        <v>809</v>
      </c>
      <c r="C81" s="121">
        <f>+tline!B29</f>
        <v>8</v>
      </c>
      <c r="D81" s="65">
        <f>+'each ball vs theory'!J10</f>
        <v>11.796157597084868</v>
      </c>
      <c r="E81" s="48">
        <f>+D81-D$79</f>
        <v>0.79180591071505191</v>
      </c>
      <c r="F81" s="78"/>
    </row>
    <row r="82" spans="1:24" ht="29" x14ac:dyDescent="0.35">
      <c r="A82" s="138" t="str">
        <f>+alph!C43</f>
        <v>Ref_AP</v>
      </c>
      <c r="B82" s="78"/>
      <c r="C82" s="78"/>
      <c r="D82" s="78"/>
      <c r="E82" s="78"/>
      <c r="F82" s="78"/>
    </row>
    <row r="83" spans="1:24" ht="29" x14ac:dyDescent="0.35">
      <c r="A83" s="138" t="str">
        <f>+alph!C44</f>
        <v>Ref_AQ</v>
      </c>
      <c r="B83" s="78" t="s">
        <v>859</v>
      </c>
      <c r="D83" s="78" t="b">
        <v>1</v>
      </c>
      <c r="E83" s="78"/>
      <c r="F83" s="78"/>
    </row>
    <row r="84" spans="1:24" ht="174" x14ac:dyDescent="0.35">
      <c r="A84" s="138" t="str">
        <f>+alph!C45</f>
        <v>Ref_AR</v>
      </c>
      <c r="B84" s="112" t="s">
        <v>789</v>
      </c>
      <c r="C84" s="112" t="s">
        <v>815</v>
      </c>
      <c r="D84" s="112" t="s">
        <v>851</v>
      </c>
      <c r="E84" s="112" t="s">
        <v>812</v>
      </c>
      <c r="F84" s="78" t="s">
        <v>814</v>
      </c>
      <c r="G84" s="53" t="s">
        <v>856</v>
      </c>
      <c r="X84" t="s">
        <v>858</v>
      </c>
    </row>
    <row r="85" spans="1:24" ht="29" x14ac:dyDescent="0.35">
      <c r="A85" s="138" t="str">
        <f>+alph!C46</f>
        <v>Ref_AS</v>
      </c>
      <c r="B85" s="112">
        <v>0</v>
      </c>
      <c r="C85" s="48">
        <f>+D79</f>
        <v>11.004351686369816</v>
      </c>
      <c r="D85" s="112"/>
      <c r="E85" s="112"/>
      <c r="F85" s="78"/>
    </row>
    <row r="86" spans="1:24" ht="29" x14ac:dyDescent="0.35">
      <c r="A86" s="138" t="str">
        <f>+alph!C47</f>
        <v>Ref_AT</v>
      </c>
      <c r="B86" s="121">
        <f>+C80</f>
        <v>4</v>
      </c>
      <c r="C86" s="48">
        <f>+D80</f>
        <v>11.500091039165328</v>
      </c>
      <c r="D86" s="112"/>
      <c r="E86" s="112"/>
      <c r="F86" s="78"/>
    </row>
    <row r="87" spans="1:24" ht="29" x14ac:dyDescent="0.35">
      <c r="A87" s="138" t="str">
        <f>+alph!C48</f>
        <v>Ref_AU</v>
      </c>
      <c r="B87" s="121">
        <f>+C81</f>
        <v>8</v>
      </c>
      <c r="C87" s="48">
        <f>+D81</f>
        <v>11.796157597084868</v>
      </c>
      <c r="D87" s="112"/>
      <c r="E87" s="112"/>
      <c r="F87" s="78"/>
    </row>
    <row r="88" spans="1:24" ht="29" x14ac:dyDescent="0.35">
      <c r="A88" s="138" t="str">
        <f>+alph!C49</f>
        <v>Ref_AV</v>
      </c>
      <c r="B88" s="48">
        <f>+tline!B35</f>
        <v>19.166666666666668</v>
      </c>
      <c r="C88" s="48">
        <f>+'each ball vs theory'!J135</f>
        <v>12.005102553929792</v>
      </c>
      <c r="D88" s="112"/>
      <c r="E88" s="112"/>
      <c r="F88" s="78"/>
    </row>
    <row r="89" spans="1:24" ht="29" x14ac:dyDescent="0.35">
      <c r="A89" s="138" t="str">
        <f>+alph!C50</f>
        <v>Ref_AW</v>
      </c>
      <c r="B89" s="121">
        <f>+IF($D$83,B87+0.2,B86)</f>
        <v>8.1999999999999993</v>
      </c>
      <c r="C89" s="112"/>
      <c r="D89" s="112">
        <v>11.35</v>
      </c>
      <c r="E89" s="112"/>
      <c r="F89" s="78"/>
    </row>
    <row r="90" spans="1:24" ht="29" x14ac:dyDescent="0.35">
      <c r="A90" s="138" t="str">
        <f>+alph!C51</f>
        <v>Ref_AX</v>
      </c>
      <c r="B90" s="48">
        <f>+B89+1</f>
        <v>9.1999999999999993</v>
      </c>
      <c r="C90" s="112"/>
      <c r="D90" s="112">
        <v>11.35</v>
      </c>
      <c r="E90" s="112"/>
      <c r="F90" s="78"/>
    </row>
    <row r="91" spans="1:24" ht="29" x14ac:dyDescent="0.35">
      <c r="A91" s="138" t="str">
        <f>+alph!C52</f>
        <v>Ref_AY</v>
      </c>
      <c r="B91" s="48">
        <f>+B89-0.02</f>
        <v>8.18</v>
      </c>
      <c r="C91" s="112"/>
      <c r="D91" s="112">
        <v>11.45</v>
      </c>
      <c r="E91" s="112"/>
      <c r="F91" s="78"/>
    </row>
    <row r="92" spans="1:24" ht="29" x14ac:dyDescent="0.35">
      <c r="A92" s="138" t="str">
        <f>+alph!C53</f>
        <v>Ref_AZ</v>
      </c>
      <c r="B92" s="48">
        <f>+B91+1</f>
        <v>9.18</v>
      </c>
      <c r="C92" s="112"/>
      <c r="D92" s="112">
        <v>11.45</v>
      </c>
      <c r="E92" s="112"/>
      <c r="F92" s="110"/>
    </row>
    <row r="93" spans="1:24" ht="29" x14ac:dyDescent="0.35">
      <c r="A93" s="138" t="str">
        <f>+alph!C54</f>
        <v>Ref_BA</v>
      </c>
      <c r="B93" s="121">
        <f>+B87+0.4</f>
        <v>8.4</v>
      </c>
      <c r="C93" s="112"/>
      <c r="D93" s="112">
        <v>11.75</v>
      </c>
      <c r="E93" s="112"/>
      <c r="F93" s="78"/>
    </row>
    <row r="94" spans="1:24" ht="29" x14ac:dyDescent="0.35">
      <c r="A94" s="138" t="str">
        <f>+alph!C55</f>
        <v>Ref_BB</v>
      </c>
      <c r="B94" s="121">
        <f>+B93+1</f>
        <v>9.4</v>
      </c>
      <c r="C94" s="112"/>
      <c r="D94" s="112">
        <v>11.75</v>
      </c>
      <c r="E94" s="112"/>
      <c r="F94" s="110"/>
    </row>
    <row r="95" spans="1:24" ht="29" x14ac:dyDescent="0.35">
      <c r="A95" s="138" t="str">
        <f>+alph!C56</f>
        <v>Ref_BC</v>
      </c>
      <c r="B95" s="121"/>
      <c r="C95" s="138"/>
      <c r="D95" s="138"/>
      <c r="E95" s="138"/>
      <c r="F95" s="137"/>
    </row>
    <row r="96" spans="1:24" ht="29" x14ac:dyDescent="0.35">
      <c r="A96" s="138" t="str">
        <f>+alph!C57</f>
        <v>Ref_BD</v>
      </c>
      <c r="B96" s="112">
        <v>0</v>
      </c>
      <c r="C96" s="112"/>
      <c r="D96" s="112"/>
      <c r="E96" s="112">
        <v>11.05</v>
      </c>
      <c r="F96" s="78"/>
    </row>
    <row r="97" spans="1:24" ht="29" x14ac:dyDescent="0.35">
      <c r="A97" s="138" t="str">
        <f>+alph!C58</f>
        <v>Ref_BE</v>
      </c>
      <c r="B97" s="132">
        <f>+B86</f>
        <v>4</v>
      </c>
      <c r="C97" s="52"/>
      <c r="D97" s="52"/>
      <c r="E97" s="52"/>
      <c r="F97" s="110"/>
    </row>
    <row r="98" spans="1:24" ht="29" x14ac:dyDescent="0.35">
      <c r="A98" s="138" t="str">
        <f>+alph!C59</f>
        <v>Ref_BF</v>
      </c>
      <c r="B98" s="132">
        <f>+B91</f>
        <v>8.18</v>
      </c>
      <c r="C98" s="52"/>
      <c r="D98" s="52"/>
      <c r="E98" s="52"/>
      <c r="F98" s="110"/>
      <c r="G98" s="24">
        <f>11.45-$C$16</f>
        <v>11.422491428571428</v>
      </c>
    </row>
    <row r="99" spans="1:24" ht="29" x14ac:dyDescent="0.35">
      <c r="A99" s="138" t="str">
        <f>+alph!C60</f>
        <v>Ref_BG</v>
      </c>
      <c r="B99" s="132">
        <f>+B97</f>
        <v>4</v>
      </c>
      <c r="C99" s="52"/>
      <c r="D99" s="52"/>
      <c r="E99" s="52"/>
      <c r="F99" s="110"/>
      <c r="G99" s="24">
        <f>+G98-(C87-C86)</f>
        <v>11.126424870651888</v>
      </c>
    </row>
    <row r="100" spans="1:24" ht="29" x14ac:dyDescent="0.35">
      <c r="A100" s="138" t="str">
        <f>+alph!C61</f>
        <v>Ref_BH</v>
      </c>
      <c r="B100" s="52">
        <v>0</v>
      </c>
      <c r="C100" s="52"/>
      <c r="D100" s="52"/>
      <c r="E100" s="52"/>
      <c r="F100" s="110"/>
      <c r="G100" s="24">
        <f>+G98-(C87-C85)</f>
        <v>10.630685517856376</v>
      </c>
    </row>
    <row r="101" spans="1:24" ht="29" x14ac:dyDescent="0.35">
      <c r="A101" s="138" t="str">
        <f>+alph!C62</f>
        <v>Ref_BI</v>
      </c>
      <c r="B101" s="132">
        <f>+B93</f>
        <v>8.4</v>
      </c>
      <c r="C101" s="52"/>
      <c r="D101" s="52"/>
      <c r="E101" s="52"/>
      <c r="F101" s="110"/>
      <c r="X101">
        <v>11.45</v>
      </c>
    </row>
    <row r="102" spans="1:24" ht="29" x14ac:dyDescent="0.35">
      <c r="A102" s="138" t="str">
        <f>+alph!C63</f>
        <v>Ref_BJ</v>
      </c>
      <c r="B102" s="132">
        <f>+B101+0.2</f>
        <v>8.6</v>
      </c>
      <c r="C102" s="52"/>
      <c r="D102" s="52"/>
      <c r="E102" s="52"/>
      <c r="F102" s="110"/>
      <c r="X102">
        <v>11.35</v>
      </c>
    </row>
    <row r="103" spans="1:24" ht="29" x14ac:dyDescent="0.35">
      <c r="A103" s="138" t="str">
        <f>+alph!C64</f>
        <v>Ref_BK</v>
      </c>
      <c r="B103" s="132">
        <f>+B102+0.2</f>
        <v>8.7999999999999989</v>
      </c>
      <c r="C103" s="52"/>
      <c r="D103" s="52"/>
      <c r="E103" s="52"/>
      <c r="F103" s="110"/>
      <c r="X103">
        <v>11.75</v>
      </c>
    </row>
    <row r="104" spans="1:24" ht="29" x14ac:dyDescent="0.35">
      <c r="A104" s="138" t="str">
        <f>+alph!C65</f>
        <v>Ref_BL</v>
      </c>
      <c r="B104" s="52"/>
      <c r="C104" s="52"/>
      <c r="D104" s="52"/>
      <c r="E104" s="52"/>
      <c r="F104" s="110"/>
    </row>
    <row r="105" spans="1:24" ht="29" x14ac:dyDescent="0.35">
      <c r="A105" s="138" t="str">
        <f>+alph!C66</f>
        <v>Ref_BM</v>
      </c>
      <c r="B105" s="52"/>
      <c r="C105" s="52"/>
      <c r="D105" s="52"/>
      <c r="E105" s="52"/>
      <c r="F105" s="110"/>
    </row>
    <row r="106" spans="1:24" ht="29" x14ac:dyDescent="0.35">
      <c r="A106" s="138" t="str">
        <f>+alph!C67</f>
        <v>Ref_BN</v>
      </c>
      <c r="B106" s="52"/>
      <c r="C106" s="52"/>
      <c r="D106" s="52"/>
      <c r="E106" s="52"/>
      <c r="F106" s="110"/>
    </row>
    <row r="107" spans="1:24" ht="29" x14ac:dyDescent="0.35">
      <c r="A107" s="138" t="str">
        <f>+alph!C68</f>
        <v>Ref_BO</v>
      </c>
      <c r="B107" s="52"/>
      <c r="C107" s="52"/>
      <c r="D107" s="52"/>
      <c r="E107" s="52"/>
      <c r="F107" s="110"/>
    </row>
    <row r="108" spans="1:24" ht="29" x14ac:dyDescent="0.35">
      <c r="A108" s="138" t="str">
        <f>+alph!C69</f>
        <v>Ref_BP</v>
      </c>
      <c r="B108" s="52"/>
      <c r="C108" s="52"/>
      <c r="D108" s="52"/>
      <c r="E108" s="52"/>
      <c r="F108" s="110"/>
    </row>
    <row r="109" spans="1:24" ht="29" x14ac:dyDescent="0.35">
      <c r="A109" s="138" t="str">
        <f>+alph!C70</f>
        <v>Ref_BQ</v>
      </c>
      <c r="B109" s="52"/>
      <c r="C109" s="52"/>
      <c r="D109" s="52"/>
      <c r="E109" s="52"/>
      <c r="F109" s="110"/>
    </row>
    <row r="110" spans="1:24" ht="29" x14ac:dyDescent="0.35">
      <c r="A110" s="138" t="str">
        <f>+alph!C71</f>
        <v>Ref_BR</v>
      </c>
      <c r="B110" s="110"/>
      <c r="C110" s="110"/>
      <c r="D110" s="110"/>
      <c r="E110" s="110"/>
      <c r="F110" s="110"/>
    </row>
    <row r="111" spans="1:24" ht="217.5" x14ac:dyDescent="0.35">
      <c r="A111" s="138" t="str">
        <f>+alph!C72</f>
        <v>Ref_BS</v>
      </c>
      <c r="B111" s="112" t="s">
        <v>789</v>
      </c>
      <c r="C111" s="112" t="s">
        <v>815</v>
      </c>
      <c r="D111" s="112" t="s">
        <v>828</v>
      </c>
      <c r="E111" s="112" t="s">
        <v>812</v>
      </c>
      <c r="F111" s="53" t="s">
        <v>817</v>
      </c>
      <c r="G111" s="110" t="s">
        <v>816</v>
      </c>
    </row>
    <row r="112" spans="1:24" ht="29" x14ac:dyDescent="0.35">
      <c r="A112" s="138" t="str">
        <f>+alph!C73</f>
        <v>Ref_BT</v>
      </c>
      <c r="B112" s="112">
        <v>0</v>
      </c>
      <c r="C112" s="48">
        <f>+C85</f>
        <v>11.004351686369816</v>
      </c>
      <c r="D112" s="112"/>
      <c r="E112" s="112"/>
      <c r="G112" s="110"/>
    </row>
    <row r="113" spans="1:7" ht="29" x14ac:dyDescent="0.35">
      <c r="A113" s="138" t="str">
        <f>+alph!C74</f>
        <v>Ref_BU</v>
      </c>
      <c r="B113" s="121">
        <f>+B86</f>
        <v>4</v>
      </c>
      <c r="C113" s="48">
        <f t="shared" ref="C113:C114" si="0">+C86</f>
        <v>11.500091039165328</v>
      </c>
      <c r="D113" s="112"/>
      <c r="E113" s="112"/>
      <c r="G113" s="110"/>
    </row>
    <row r="114" spans="1:7" ht="29" x14ac:dyDescent="0.35">
      <c r="A114" s="138" t="str">
        <f>+alph!C75</f>
        <v>Ref_BV</v>
      </c>
      <c r="B114" s="121">
        <f>+B87</f>
        <v>8</v>
      </c>
      <c r="C114" s="48">
        <f t="shared" si="0"/>
        <v>11.796157597084868</v>
      </c>
      <c r="D114" s="112"/>
      <c r="E114" s="112"/>
      <c r="G114" s="110"/>
    </row>
    <row r="115" spans="1:7" ht="29" x14ac:dyDescent="0.35">
      <c r="A115" s="138" t="str">
        <f>+alph!C76</f>
        <v>Ref_BW</v>
      </c>
      <c r="B115" s="121">
        <v>15</v>
      </c>
      <c r="C115" s="48">
        <f>+'each ball vs theory'!J139</f>
        <v>11.966086030793106</v>
      </c>
      <c r="D115" s="112"/>
      <c r="E115" s="112"/>
      <c r="G115" s="110"/>
    </row>
    <row r="116" spans="1:7" ht="29" x14ac:dyDescent="0.35">
      <c r="A116" s="138" t="str">
        <f>+alph!C77</f>
        <v>Ref_BX</v>
      </c>
      <c r="B116" s="121">
        <f>+B113</f>
        <v>4</v>
      </c>
      <c r="C116" s="48"/>
      <c r="D116" s="48">
        <f>+D80</f>
        <v>11.500091039165328</v>
      </c>
      <c r="E116" s="112"/>
      <c r="G116" s="110"/>
    </row>
    <row r="117" spans="1:7" ht="29" x14ac:dyDescent="0.35">
      <c r="A117" s="138" t="str">
        <f>+alph!C78</f>
        <v>Ref_BY</v>
      </c>
      <c r="B117" s="121">
        <f>+B114+0.75</f>
        <v>8.75</v>
      </c>
      <c r="C117" s="48"/>
      <c r="D117" s="48">
        <f>+'each ball vs theory'!J137-0.04</f>
        <v>11.797469209817828</v>
      </c>
      <c r="E117" s="112"/>
      <c r="G117" s="110"/>
    </row>
    <row r="118" spans="1:7" ht="29" x14ac:dyDescent="0.35">
      <c r="A118" s="138" t="str">
        <f>+alph!C79</f>
        <v>Ref_BZ</v>
      </c>
      <c r="B118" s="121">
        <v>15</v>
      </c>
      <c r="C118" s="48"/>
      <c r="D118" s="48">
        <f>+'each ball vs theory'!J138-0.05</f>
        <v>11.916086030793105</v>
      </c>
      <c r="E118" s="112"/>
      <c r="G118" s="110"/>
    </row>
    <row r="119" spans="1:7" ht="29" x14ac:dyDescent="0.35">
      <c r="A119" s="138" t="str">
        <f>+alph!C80</f>
        <v>Ref_CA</v>
      </c>
      <c r="B119" s="112">
        <v>0</v>
      </c>
      <c r="C119" s="48"/>
      <c r="D119" s="112"/>
      <c r="E119" s="112">
        <v>11.05</v>
      </c>
      <c r="G119" s="110"/>
    </row>
    <row r="120" spans="1:7" ht="29" x14ac:dyDescent="0.35">
      <c r="A120" s="138" t="str">
        <f>+alph!C81</f>
        <v>Ref_CB</v>
      </c>
      <c r="B120" s="132">
        <f>+B114+0.25</f>
        <v>8.25</v>
      </c>
      <c r="C120" s="52"/>
      <c r="D120" s="52"/>
      <c r="E120" s="52"/>
      <c r="G120" s="110">
        <v>11.75</v>
      </c>
    </row>
    <row r="121" spans="1:7" ht="29" x14ac:dyDescent="0.35">
      <c r="A121" s="138" t="str">
        <f>+alph!C82</f>
        <v>Ref_CC</v>
      </c>
      <c r="B121" s="132">
        <f>+B114</f>
        <v>8</v>
      </c>
      <c r="C121" s="52"/>
      <c r="D121" s="52"/>
      <c r="E121" s="52"/>
      <c r="F121">
        <v>11.45</v>
      </c>
      <c r="G121" s="110"/>
    </row>
    <row r="122" spans="1:7" ht="29" x14ac:dyDescent="0.35">
      <c r="A122" s="138" t="str">
        <f>+alph!C83</f>
        <v>Ref_CD</v>
      </c>
      <c r="B122" s="132">
        <f>+B121+0.125</f>
        <v>8.125</v>
      </c>
      <c r="C122" s="52"/>
      <c r="D122" s="52"/>
      <c r="E122" s="52"/>
      <c r="F122">
        <v>11.35</v>
      </c>
      <c r="G122" s="110"/>
    </row>
    <row r="123" spans="1:7" ht="29" x14ac:dyDescent="0.35">
      <c r="A123" s="138" t="str">
        <f>+alph!C84</f>
        <v>Ref_CE</v>
      </c>
      <c r="B123" s="52"/>
      <c r="C123" s="52"/>
      <c r="D123" s="52"/>
      <c r="E123" s="52"/>
      <c r="F123" s="110"/>
    </row>
    <row r="124" spans="1:7" ht="29" x14ac:dyDescent="0.35">
      <c r="A124" s="138" t="str">
        <f>+alph!C85</f>
        <v>Ref_CF</v>
      </c>
      <c r="B124" s="52"/>
      <c r="C124" s="52"/>
      <c r="D124" s="52"/>
      <c r="E124" s="52"/>
      <c r="F124" s="110"/>
    </row>
    <row r="125" spans="1:7" ht="29" x14ac:dyDescent="0.35">
      <c r="A125" s="138" t="str">
        <f>+alph!C86</f>
        <v>Ref_CG</v>
      </c>
      <c r="B125" s="52"/>
      <c r="C125" s="52"/>
      <c r="D125" s="52"/>
      <c r="E125" s="52"/>
      <c r="F125" s="110"/>
    </row>
    <row r="126" spans="1:7" ht="29" x14ac:dyDescent="0.35">
      <c r="A126" s="138" t="str">
        <f>+alph!C87</f>
        <v>Ref_CH</v>
      </c>
      <c r="B126" s="52"/>
      <c r="C126" s="52"/>
      <c r="D126" s="52"/>
      <c r="E126" s="52"/>
      <c r="F126" s="110"/>
    </row>
    <row r="127" spans="1:7" ht="29" x14ac:dyDescent="0.35">
      <c r="A127" s="138" t="str">
        <f>+alph!C88</f>
        <v>Ref_CI</v>
      </c>
      <c r="B127" s="52"/>
      <c r="C127" s="52"/>
      <c r="D127" s="52"/>
      <c r="E127" s="52"/>
      <c r="F127" s="110"/>
    </row>
    <row r="128" spans="1:7" ht="29" x14ac:dyDescent="0.35">
      <c r="A128" s="138" t="str">
        <f>+alph!C89</f>
        <v>Ref_CJ</v>
      </c>
      <c r="B128" s="52"/>
      <c r="C128" s="52"/>
      <c r="D128" s="52"/>
      <c r="E128" s="52"/>
      <c r="F128" s="110"/>
    </row>
    <row r="129" spans="1:6" ht="29" x14ac:dyDescent="0.35">
      <c r="A129" s="138" t="str">
        <f>+alph!C90</f>
        <v>Ref_CK</v>
      </c>
      <c r="B129" s="52"/>
      <c r="C129" s="52"/>
      <c r="D129" s="52"/>
      <c r="E129" s="52"/>
      <c r="F129" s="110"/>
    </row>
    <row r="130" spans="1:6" ht="29" x14ac:dyDescent="0.35">
      <c r="A130" s="138" t="str">
        <f>+alph!C91</f>
        <v>Ref_CL</v>
      </c>
      <c r="B130" s="52"/>
      <c r="C130" s="52"/>
      <c r="D130" s="52"/>
      <c r="E130" s="52"/>
      <c r="F130" s="110"/>
    </row>
    <row r="131" spans="1:6" x14ac:dyDescent="0.35">
      <c r="A131" s="110"/>
      <c r="B131" s="52"/>
      <c r="C131" s="52"/>
      <c r="D131" s="52"/>
      <c r="E131" s="52"/>
      <c r="F131" s="110"/>
    </row>
    <row r="132" spans="1:6" x14ac:dyDescent="0.35">
      <c r="A132" s="78"/>
      <c r="B132" s="78"/>
      <c r="C132" s="78" t="s">
        <v>813</v>
      </c>
      <c r="D132" s="78" t="s">
        <v>291</v>
      </c>
      <c r="E132" s="78"/>
      <c r="F132" s="78"/>
    </row>
    <row r="133" spans="1:6" ht="43.5" x14ac:dyDescent="0.35">
      <c r="A133" s="78"/>
      <c r="B133" s="78" t="s">
        <v>263</v>
      </c>
      <c r="C133" s="36">
        <v>11.1</v>
      </c>
      <c r="D133" s="36">
        <f>+C133</f>
        <v>11.1</v>
      </c>
      <c r="E133" s="78" t="s">
        <v>149</v>
      </c>
      <c r="F133" s="78" t="s">
        <v>238</v>
      </c>
    </row>
    <row r="134" spans="1:6" ht="29" x14ac:dyDescent="0.35">
      <c r="A134" s="78"/>
      <c r="B134" s="78" t="s">
        <v>290</v>
      </c>
      <c r="C134" s="36">
        <f>+(C133+0.1444)/1.015</f>
        <v>11.078226600985221</v>
      </c>
      <c r="D134" s="36">
        <f>+(D133+0.2836)/1.05</f>
        <v>10.841523809523808</v>
      </c>
      <c r="E134" s="78" t="s">
        <v>149</v>
      </c>
      <c r="F134" s="78" t="s">
        <v>266</v>
      </c>
    </row>
    <row r="135" spans="1:6" ht="72.5" x14ac:dyDescent="0.35">
      <c r="A135" s="78"/>
      <c r="B135" s="78" t="s">
        <v>255</v>
      </c>
      <c r="C135" s="36">
        <f>0.09/10</f>
        <v>8.9999999999999993E-3</v>
      </c>
      <c r="D135" s="36"/>
      <c r="E135" s="78" t="s">
        <v>162</v>
      </c>
      <c r="F135" s="78" t="s">
        <v>257</v>
      </c>
    </row>
    <row r="136" spans="1:6" x14ac:dyDescent="0.35">
      <c r="A136" s="78"/>
      <c r="B136" s="78"/>
      <c r="C136" s="36">
        <f>72.5-48</f>
        <v>24.5</v>
      </c>
      <c r="D136" s="36"/>
      <c r="E136" s="78" t="s">
        <v>121</v>
      </c>
      <c r="F136" s="78" t="s">
        <v>258</v>
      </c>
    </row>
    <row r="137" spans="1:6" x14ac:dyDescent="0.35">
      <c r="A137" s="78"/>
      <c r="B137" s="78" t="s">
        <v>259</v>
      </c>
      <c r="C137" s="36">
        <v>1</v>
      </c>
      <c r="D137" s="36"/>
      <c r="E137" s="78" t="s">
        <v>117</v>
      </c>
      <c r="F137" s="78"/>
    </row>
    <row r="138" spans="1:6" x14ac:dyDescent="0.35">
      <c r="A138" s="78"/>
      <c r="B138" s="78" t="s">
        <v>260</v>
      </c>
      <c r="C138" s="36">
        <v>10</v>
      </c>
      <c r="D138" s="36"/>
      <c r="E138" s="78" t="s">
        <v>117</v>
      </c>
      <c r="F138" s="78"/>
    </row>
    <row r="139" spans="1:6" x14ac:dyDescent="0.35">
      <c r="A139" s="78"/>
      <c r="B139" s="78" t="s">
        <v>261</v>
      </c>
      <c r="C139" s="36">
        <f>+C137/C138*C136</f>
        <v>2.4500000000000002</v>
      </c>
      <c r="D139" s="36"/>
      <c r="E139" s="78" t="s">
        <v>121</v>
      </c>
      <c r="F139" s="78"/>
    </row>
    <row r="140" spans="1:6" ht="29" x14ac:dyDescent="0.35">
      <c r="A140" s="78"/>
      <c r="B140" s="78" t="s">
        <v>267</v>
      </c>
      <c r="C140" s="36">
        <f>+C139*C135</f>
        <v>2.205E-2</v>
      </c>
      <c r="D140" s="36">
        <f>+C140</f>
        <v>2.205E-2</v>
      </c>
      <c r="E140" s="78" t="s">
        <v>149</v>
      </c>
      <c r="F140" s="78"/>
    </row>
    <row r="141" spans="1:6" x14ac:dyDescent="0.35">
      <c r="A141" s="78"/>
      <c r="B141" s="78" t="s">
        <v>262</v>
      </c>
      <c r="C141" s="36">
        <f>+C134-C140</f>
        <v>11.056176600985221</v>
      </c>
      <c r="D141" s="36">
        <f>+D134-D140</f>
        <v>10.819473809523808</v>
      </c>
      <c r="E141" s="78"/>
      <c r="F141" s="78"/>
    </row>
    <row r="142" spans="1:6" ht="116" x14ac:dyDescent="0.35">
      <c r="A142" s="78"/>
      <c r="B142" s="78" t="s">
        <v>268</v>
      </c>
      <c r="C142" s="78">
        <v>9.5000000000000001E-2</v>
      </c>
      <c r="D142" s="78">
        <f>+C142</f>
        <v>9.5000000000000001E-2</v>
      </c>
      <c r="E142" s="78" t="s">
        <v>149</v>
      </c>
      <c r="F142" s="78" t="s">
        <v>242</v>
      </c>
    </row>
    <row r="143" spans="1:6" ht="116" x14ac:dyDescent="0.35">
      <c r="A143" s="78"/>
      <c r="B143" s="78" t="s">
        <v>269</v>
      </c>
      <c r="C143" s="36"/>
      <c r="D143" s="36"/>
      <c r="E143" s="78"/>
      <c r="F143" s="78"/>
    </row>
    <row r="144" spans="1:6" ht="58" x14ac:dyDescent="0.35">
      <c r="A144" s="78"/>
      <c r="B144" s="78" t="s">
        <v>270</v>
      </c>
      <c r="C144" s="36">
        <v>1.5</v>
      </c>
      <c r="D144" s="36"/>
      <c r="E144" s="78" t="s">
        <v>271</v>
      </c>
      <c r="F144" s="78"/>
    </row>
    <row r="145" spans="1:6" ht="43.5" x14ac:dyDescent="0.35">
      <c r="A145" s="78"/>
      <c r="B145" s="78" t="s">
        <v>277</v>
      </c>
      <c r="C145" s="36">
        <f>+(12.6-12.5)/0.05</f>
        <v>1.9999999999999929</v>
      </c>
      <c r="D145" s="36"/>
      <c r="E145" s="78"/>
      <c r="F145" s="78"/>
    </row>
    <row r="146" spans="1:6" ht="29" x14ac:dyDescent="0.35">
      <c r="A146" s="78"/>
      <c r="B146" s="78" t="s">
        <v>278</v>
      </c>
      <c r="C146" s="36">
        <v>0</v>
      </c>
      <c r="D146" s="36"/>
      <c r="E146" s="78"/>
      <c r="F146" s="78"/>
    </row>
    <row r="147" spans="1:6" ht="29" x14ac:dyDescent="0.35">
      <c r="A147" s="78"/>
      <c r="B147" s="78" t="s">
        <v>279</v>
      </c>
      <c r="C147" s="36">
        <v>3</v>
      </c>
      <c r="D147" s="36"/>
      <c r="E147" s="78"/>
      <c r="F147" s="78"/>
    </row>
    <row r="148" spans="1:6" x14ac:dyDescent="0.35">
      <c r="A148" s="78"/>
      <c r="B148" s="78" t="s">
        <v>280</v>
      </c>
      <c r="C148" s="36">
        <f>+C147*0.05</f>
        <v>0.15000000000000002</v>
      </c>
      <c r="D148" s="36"/>
      <c r="E148" s="78"/>
      <c r="F148" s="78"/>
    </row>
    <row r="149" spans="1:6" x14ac:dyDescent="0.35">
      <c r="A149" s="78"/>
      <c r="B149" s="78"/>
      <c r="C149" s="36"/>
      <c r="D149" s="36"/>
      <c r="E149" s="78"/>
      <c r="F149" s="78"/>
    </row>
    <row r="150" spans="1:6" ht="29" x14ac:dyDescent="0.35">
      <c r="A150" s="78"/>
      <c r="B150" s="78" t="s">
        <v>272</v>
      </c>
      <c r="C150" s="36">
        <f>+C141-C144*C142-C148</f>
        <v>10.763676600985221</v>
      </c>
      <c r="D150" s="36"/>
      <c r="E150" s="78"/>
      <c r="F150" s="78"/>
    </row>
    <row r="151" spans="1:6" ht="87" x14ac:dyDescent="0.35">
      <c r="A151" s="78"/>
      <c r="B151" s="78" t="s">
        <v>274</v>
      </c>
      <c r="C151" s="36">
        <v>11.45</v>
      </c>
      <c r="D151" s="36"/>
      <c r="E151" s="78" t="s">
        <v>149</v>
      </c>
      <c r="F151" s="78" t="s">
        <v>275</v>
      </c>
    </row>
    <row r="152" spans="1:6" x14ac:dyDescent="0.35">
      <c r="A152" s="78"/>
      <c r="B152" s="78" t="s">
        <v>273</v>
      </c>
      <c r="C152" s="36">
        <f>+(C151+0.1444)/1.015</f>
        <v>11.423054187192118</v>
      </c>
      <c r="D152" s="36">
        <f>+C152</f>
        <v>11.423054187192118</v>
      </c>
      <c r="E152" s="78" t="s">
        <v>149</v>
      </c>
      <c r="F152" s="78" t="s">
        <v>281</v>
      </c>
    </row>
    <row r="153" spans="1:6" ht="29" x14ac:dyDescent="0.35">
      <c r="A153" s="78"/>
      <c r="B153" s="78" t="s">
        <v>284</v>
      </c>
      <c r="C153" s="36">
        <f>+C152-C141</f>
        <v>0.36687758620689692</v>
      </c>
      <c r="D153" s="36">
        <f>+D152-D141</f>
        <v>0.60358037766830996</v>
      </c>
      <c r="E153" s="78" t="s">
        <v>149</v>
      </c>
      <c r="F153" s="78"/>
    </row>
    <row r="154" spans="1:6" x14ac:dyDescent="0.35">
      <c r="A154" s="78"/>
      <c r="B154" s="78" t="s">
        <v>287</v>
      </c>
      <c r="C154" s="36">
        <f>+main!C77</f>
        <v>1.5194423482757151</v>
      </c>
      <c r="D154" s="36">
        <f>+main!D77</f>
        <v>1.5312340430876872</v>
      </c>
      <c r="E154" s="78" t="s">
        <v>149</v>
      </c>
      <c r="F154" s="78"/>
    </row>
    <row r="155" spans="1:6" ht="29" x14ac:dyDescent="0.35">
      <c r="A155" s="78"/>
      <c r="B155" s="78" t="s">
        <v>288</v>
      </c>
      <c r="C155" s="37">
        <f>+C153/C154</f>
        <v>0.24145541726096739</v>
      </c>
      <c r="D155" s="37">
        <f>+D153/D154</f>
        <v>0.39417904819514615</v>
      </c>
      <c r="E155" s="78"/>
      <c r="F155" s="78"/>
    </row>
    <row r="156" spans="1:6" ht="29" x14ac:dyDescent="0.35">
      <c r="A156" s="78"/>
      <c r="B156" s="78" t="s">
        <v>285</v>
      </c>
      <c r="C156" s="36">
        <v>3</v>
      </c>
      <c r="D156" s="36">
        <v>6</v>
      </c>
      <c r="E156" s="78" t="s">
        <v>117</v>
      </c>
      <c r="F156" s="78" t="s">
        <v>286</v>
      </c>
    </row>
    <row r="157" spans="1:6" ht="72.5" x14ac:dyDescent="0.35">
      <c r="B157" s="4" t="s">
        <v>276</v>
      </c>
      <c r="C157" s="36">
        <f>+C152-C150</f>
        <v>0.65937758620689735</v>
      </c>
      <c r="D157" s="36"/>
      <c r="E157" s="4" t="s">
        <v>149</v>
      </c>
      <c r="F157" s="4"/>
    </row>
    <row r="158" spans="1:6" ht="29" x14ac:dyDescent="0.35">
      <c r="B158" s="4" t="s">
        <v>289</v>
      </c>
      <c r="C158" s="37">
        <f>+C157/C154</f>
        <v>0.43396025321735204</v>
      </c>
      <c r="D158" s="37"/>
      <c r="E158" s="4"/>
      <c r="F158" s="4"/>
    </row>
    <row r="159" spans="1:6" ht="43.5" x14ac:dyDescent="0.35">
      <c r="B159" s="4" t="s">
        <v>282</v>
      </c>
      <c r="C159" s="36">
        <v>6</v>
      </c>
      <c r="D159" s="36"/>
      <c r="E159" s="4"/>
      <c r="F159" s="4" t="s">
        <v>283</v>
      </c>
    </row>
    <row r="160" spans="1:6" x14ac:dyDescent="0.35">
      <c r="B160" s="4" t="s">
        <v>294</v>
      </c>
      <c r="C160" s="38" t="s">
        <v>292</v>
      </c>
      <c r="D160" s="36" t="s">
        <v>293</v>
      </c>
      <c r="E160" s="4"/>
      <c r="F160" s="4"/>
    </row>
    <row r="161" spans="2:6" ht="29" x14ac:dyDescent="0.35">
      <c r="B161" s="4" t="s">
        <v>295</v>
      </c>
      <c r="C161" s="36">
        <v>3</v>
      </c>
      <c r="D161" s="36"/>
      <c r="E161" s="4"/>
      <c r="F161" s="4" t="s">
        <v>296</v>
      </c>
    </row>
    <row r="162" spans="2:6" ht="29" x14ac:dyDescent="0.35">
      <c r="B162" s="4" t="s">
        <v>297</v>
      </c>
      <c r="C162" s="36">
        <v>1</v>
      </c>
      <c r="D162" s="36"/>
      <c r="E162" s="4"/>
      <c r="F162" s="4" t="s">
        <v>64</v>
      </c>
    </row>
    <row r="163" spans="2:6" ht="232" x14ac:dyDescent="0.35">
      <c r="B163" s="4" t="s">
        <v>298</v>
      </c>
      <c r="C163" s="36">
        <v>3</v>
      </c>
      <c r="D163" s="36"/>
      <c r="E163" s="4"/>
      <c r="F163" s="4" t="s">
        <v>299</v>
      </c>
    </row>
    <row r="164" spans="2:6" x14ac:dyDescent="0.35">
      <c r="B164" s="4"/>
      <c r="E164" s="4"/>
      <c r="F164" s="4"/>
    </row>
    <row r="165" spans="2:6" x14ac:dyDescent="0.35">
      <c r="B165" s="4"/>
      <c r="E165" s="4"/>
      <c r="F165" s="4"/>
    </row>
    <row r="166" spans="2:6" ht="72.5" x14ac:dyDescent="0.35">
      <c r="B166" s="4" t="s">
        <v>244</v>
      </c>
      <c r="C166" s="4">
        <v>0.1</v>
      </c>
      <c r="D166" s="4"/>
      <c r="E166" s="4" t="s">
        <v>149</v>
      </c>
      <c r="F166" s="4" t="s">
        <v>246</v>
      </c>
    </row>
    <row r="167" spans="2:6" ht="29" x14ac:dyDescent="0.35">
      <c r="B167" s="4" t="s">
        <v>241</v>
      </c>
      <c r="C167">
        <v>0.125</v>
      </c>
      <c r="E167" s="4" t="s">
        <v>149</v>
      </c>
      <c r="F167" s="4" t="s">
        <v>245</v>
      </c>
    </row>
    <row r="168" spans="2:6" ht="58" x14ac:dyDescent="0.35">
      <c r="B168" s="4" t="s">
        <v>243</v>
      </c>
    </row>
    <row r="169" spans="2:6" x14ac:dyDescent="0.35">
      <c r="B169" s="4"/>
      <c r="F169" t="s">
        <v>256</v>
      </c>
    </row>
    <row r="170" spans="2:6" ht="145" x14ac:dyDescent="0.35">
      <c r="B170" s="4" t="s">
        <v>249</v>
      </c>
      <c r="C170">
        <f>0.09/10</f>
        <v>8.9999999999999993E-3</v>
      </c>
      <c r="E170" s="4" t="s">
        <v>248</v>
      </c>
      <c r="F170" s="4" t="s">
        <v>247</v>
      </c>
    </row>
    <row r="171" spans="2:6" ht="58" x14ac:dyDescent="0.35">
      <c r="B171" s="4" t="s">
        <v>250</v>
      </c>
      <c r="C171">
        <v>0.18</v>
      </c>
      <c r="E171" s="4" t="s">
        <v>149</v>
      </c>
      <c r="F171" s="4" t="s">
        <v>251</v>
      </c>
    </row>
    <row r="172" spans="2:6" ht="43.5" x14ac:dyDescent="0.35">
      <c r="B172" s="4" t="s">
        <v>254</v>
      </c>
      <c r="E172" s="4"/>
      <c r="F172" s="4"/>
    </row>
    <row r="173" spans="2:6" ht="29" x14ac:dyDescent="0.35">
      <c r="B173" s="4"/>
      <c r="F173" s="4" t="s">
        <v>252</v>
      </c>
    </row>
    <row r="174" spans="2:6" ht="29" x14ac:dyDescent="0.35">
      <c r="F174" s="4" t="s">
        <v>253</v>
      </c>
    </row>
  </sheetData>
  <mergeCells count="9">
    <mergeCell ref="B10:E10"/>
    <mergeCell ref="B69:F69"/>
    <mergeCell ref="B76:F76"/>
    <mergeCell ref="B22:E22"/>
    <mergeCell ref="B26:E26"/>
    <mergeCell ref="B15:E15"/>
    <mergeCell ref="B65:F65"/>
    <mergeCell ref="B66:F66"/>
    <mergeCell ref="B64:F64"/>
  </mergeCells>
  <hyperlinks>
    <hyperlink ref="F72" r:id="rId1"/>
  </hyperlinks>
  <pageMargins left="0.7" right="0.7" top="0.75" bottom="0.75" header="0.3" footer="0.3"/>
  <pageSetup orientation="portrait" horizontalDpi="1200" verticalDpi="1200" r:id="rId2"/>
  <headerFooter>
    <oddFooter xml:space="preserve">&amp;L&amp;"arial,Regular"&amp;KBBBBBB
</oddFooter>
    <evenFooter xml:space="preserve">&amp;L&amp;"arial,Regular"&amp;KBBBBBB
</evenFooter>
    <firstFooter xml:space="preserve">&amp;L&amp;"arial,Regular"&amp;KBBBBBB
</first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Index</vt:lpstr>
      <vt:lpstr>main</vt:lpstr>
      <vt:lpstr>simpleLow</vt:lpstr>
      <vt:lpstr>each ball vs theory</vt:lpstr>
      <vt:lpstr>gas</vt:lpstr>
      <vt:lpstr>graphs</vt:lpstr>
      <vt:lpstr>tline</vt:lpstr>
      <vt:lpstr>split personality</vt:lpstr>
      <vt:lpstr>provRef</vt:lpstr>
      <vt:lpstr>warming curves</vt:lpstr>
      <vt:lpstr>gauge calib</vt:lpstr>
      <vt:lpstr>pres temp</vt:lpstr>
      <vt:lpstr>alph</vt:lpstr>
      <vt:lpstr>graph</vt:lpstr>
      <vt:lpstr>leather</vt:lpstr>
      <vt:lpstr>bk_Crv_C_dry</vt:lpstr>
      <vt:lpstr>bk_crv_C_wet</vt:lpstr>
      <vt:lpstr>bk_Crv_P_dry</vt:lpstr>
      <vt:lpstr>bk_Crv_P_wet</vt:lpstr>
      <vt:lpstr>bk_each_ball_and_theory</vt:lpstr>
      <vt:lpstr>bk_graph_colts</vt:lpstr>
      <vt:lpstr>bk_graph_pats</vt:lpstr>
      <vt:lpstr>bk_out_then_in</vt:lpstr>
      <vt:lpstr>bk_rise_4_8</vt:lpstr>
      <vt:lpstr>bk_timeline_intercepted</vt:lpstr>
      <vt:lpstr>Bookmark_Adjust_psi_1_degree_F</vt:lpstr>
      <vt:lpstr>bookmark_bag_impact</vt:lpstr>
      <vt:lpstr>bookmark_Crv_Basic</vt:lpstr>
      <vt:lpstr>bookmark_gas_law_basic_inputs</vt:lpstr>
      <vt:lpstr>bookmark_halftime_timing</vt:lpstr>
      <vt:lpstr>bookmark_index</vt:lpstr>
      <vt:lpstr>bookmark_intercepted_ball_not_deflated</vt:lpstr>
      <vt:lpstr>bookmark_leather_stretch_tests</vt:lpstr>
      <vt:lpstr>bookmark_lowest_ball_analysis</vt:lpstr>
      <vt:lpstr>bookmark_on_field_pressure</vt:lpstr>
      <vt:lpstr>bookmark_Predict_psi_Out_then_in_bag</vt:lpstr>
      <vt:lpstr>Bookmark_psi_drop_rate_humid_leather</vt:lpstr>
      <vt:lpstr>Bookmark_Temperature_weather_data</vt:lpstr>
      <vt:lpstr>boomark_gas_law_in_different_scenarios</vt:lpstr>
      <vt:lpstr>Factor_adjust_start_diff_to_end_diff</vt:lpstr>
      <vt:lpstr>'gauge calib'!TCrv</vt:lpstr>
      <vt:lpstr>TCrv</vt:lpstr>
      <vt:lpstr>TcrvCD</vt:lpstr>
      <vt:lpstr>TcrvCW</vt:lpstr>
      <vt:lpstr>TcrvPD</vt:lpstr>
    </vt:vector>
  </TitlesOfParts>
  <Company>Dell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Rob</dc:creator>
  <cp:keywords>No Restrictions</cp:keywords>
  <cp:lastModifiedBy>Robert Young</cp:lastModifiedBy>
  <dcterms:created xsi:type="dcterms:W3CDTF">2017-02-21T02:29:21Z</dcterms:created>
  <dcterms:modified xsi:type="dcterms:W3CDTF">2017-09-05T14:17:56Z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f77a38e6-b7f8-4daa-9faf-7d90d61ee8dd</vt:lpwstr>
  </property>
  <property fmtid="{D5CDD505-2E9C-101B-9397-08002B2CF9AE}" pid="3" name="Document Creator">
    <vt:lpwstr/>
  </property>
  <property fmtid="{D5CDD505-2E9C-101B-9397-08002B2CF9AE}" pid="4" name="Document Editor">
    <vt:lpwstr/>
  </property>
  <property fmtid="{D5CDD505-2E9C-101B-9397-08002B2CF9AE}" pid="5" name="Classification">
    <vt:lpwstr>No Restrictions</vt:lpwstr>
  </property>
  <property fmtid="{D5CDD505-2E9C-101B-9397-08002B2CF9AE}" pid="6" name="Sublabels">
    <vt:lpwstr/>
  </property>
</Properties>
</file>